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6495" tabRatio="883" firstSheet="11" activeTab="15"/>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1" sheetId="13" r:id="rId13"/>
    <sheet name="07.1" sheetId="14" r:id="rId14"/>
    <sheet name="06" sheetId="15" r:id="rId15"/>
    <sheet name="07"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4">'06'!$A$1:$U$88</definedName>
    <definedName name="_xlnm.Print_Area" localSheetId="12">'06.1'!$A$1:$S$34</definedName>
    <definedName name="_xlnm.Print_Area" localSheetId="15">'07'!$A$1:$U$88</definedName>
    <definedName name="_xlnm.Print_Area" localSheetId="13">'07.1'!$A$1:$T$33</definedName>
    <definedName name="_xlnm.Print_Area" localSheetId="1">'Mãu BC mien giam 8'!$A$1:$N$36</definedName>
    <definedName name="_xlnm.Print_Titles" localSheetId="14">'06'!$6:$10</definedName>
    <definedName name="_xlnm.Print_Titles" localSheetId="15">'07'!$6:$10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<sst xmlns="http://schemas.openxmlformats.org/spreadsheetml/2006/main" count="1354" uniqueCount="584">
  <si>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</si>
  <si>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</si>
  <si>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</si>
  <si>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</si>
  <si>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</si>
  <si>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</si>
  <si>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</si>
  <si>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</si>
  <si>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</si>
  <si>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</si>
  <si>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</si>
  <si>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</si>
  <si>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</si>
  <si>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</si>
  <si>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</si>
  <si>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</si>
  <si>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</si>
  <si>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</si>
  <si>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</si>
  <si>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</si>
  <si>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</si>
  <si>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</si>
  <si>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</si>
  <si>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</si>
  <si>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</si>
  <si>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</si>
  <si>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</si>
  <si>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</si>
  <si>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</si>
  <si>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</si>
  <si>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</si>
  <si>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</si>
  <si>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</si>
  <si>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</si>
  <si>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</si>
  <si>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</si>
  <si>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</si>
  <si>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</si>
  <si>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</si>
  <si>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</si>
  <si>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</si>
  <si>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</si>
  <si>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</si>
  <si>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</si>
  <si>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</si>
  <si>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</si>
  <si>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</si>
  <si>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</si>
  <si>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</si>
  <si>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</si>
  <si>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</si>
  <si>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</si>
  <si>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</si>
  <si>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</si>
  <si>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</si>
  <si>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</si>
  <si>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</si>
  <si>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</si>
  <si>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</si>
  <si>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</si>
  <si>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</si>
  <si>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</si>
  <si>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</si>
  <si>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</si>
  <si>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</si>
  <si>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</si>
  <si>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</si>
  <si>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</si>
  <si>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</si>
  <si>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</si>
  <si>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</si>
  <si>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</si>
  <si>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</si>
  <si>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</si>
  <si>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</si>
  <si>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</si>
  <si>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</si>
  <si>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</si>
  <si>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</si>
  <si>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</si>
  <si>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</si>
  <si>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</si>
  <si>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</si>
  <si>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</si>
  <si>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</si>
  <si>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</si>
  <si>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</si>
  <si>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</si>
  <si>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</si>
  <si>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</si>
  <si>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</si>
  <si>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</si>
  <si>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</si>
  <si>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</si>
  <si>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</si>
  <si>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</si>
  <si>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</si>
  <si>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</si>
  <si>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</si>
  <si>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</si>
  <si>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</si>
  <si>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</si>
  <si>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</si>
  <si>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</si>
  <si>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</si>
  <si>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</si>
  <si>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</si>
  <si>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</si>
  <si>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</si>
  <si>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</si>
  <si>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</si>
  <si>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</si>
  <si>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</si>
  <si>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</si>
  <si>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</si>
  <si>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3.3</t>
  </si>
  <si>
    <t>5.1</t>
  </si>
  <si>
    <t>5.2</t>
  </si>
  <si>
    <t>5.3</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</si>
  <si>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</si>
  <si>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</si>
  <si>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</si>
  <si>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</si>
  <si>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</si>
  <si>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</si>
  <si>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</si>
  <si>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</si>
  <si>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</si>
  <si>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</si>
  <si>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</si>
  <si>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</si>
  <si>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</si>
  <si>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</si>
  <si>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</si>
  <si>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</si>
  <si>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</si>
  <si>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</si>
  <si>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</si>
  <si>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</si>
  <si>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</si>
  <si>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</si>
  <si>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</si>
  <si>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</si>
  <si>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</si>
  <si>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</si>
  <si>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</si>
  <si>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</si>
  <si>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</si>
  <si>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</si>
  <si>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</si>
  <si>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</si>
  <si>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</si>
  <si>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</si>
  <si>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</si>
  <si>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</si>
  <si>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</si>
  <si>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</si>
  <si>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</si>
  <si>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</si>
  <si>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</si>
  <si>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</si>
  <si>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</si>
  <si>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</si>
  <si>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</si>
  <si>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</si>
  <si>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</si>
  <si>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</si>
  <si>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</si>
  <si>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</si>
  <si>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</si>
  <si>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</si>
  <si>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</si>
  <si>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</si>
  <si>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</si>
  <si>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</si>
  <si>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</si>
  <si>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</si>
  <si>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</si>
  <si>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</si>
  <si>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</si>
  <si>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</si>
  <si>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</si>
  <si>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</si>
  <si>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</si>
  <si>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</si>
  <si>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</si>
  <si>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</si>
  <si>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</si>
  <si>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</si>
  <si>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</si>
  <si>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</si>
  <si>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</si>
  <si>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</si>
  <si>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</si>
  <si>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</si>
  <si>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</si>
  <si>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</si>
  <si>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</si>
  <si>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</si>
  <si>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</si>
  <si>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</si>
  <si>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</si>
  <si>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</si>
  <si>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</si>
  <si>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</si>
  <si>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</si>
  <si>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</si>
  <si>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</si>
  <si>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</si>
  <si>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</si>
  <si>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</si>
  <si>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</si>
  <si>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</si>
  <si>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</si>
  <si>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</si>
  <si>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</si>
  <si>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</si>
  <si>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</si>
  <si>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</si>
  <si>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</si>
  <si>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</si>
  <si>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</si>
  <si>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</si>
  <si>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</si>
  <si>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</si>
  <si>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</si>
  <si>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</si>
  <si>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</si>
  <si>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</si>
  <si>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</si>
  <si>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</si>
  <si>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</si>
  <si>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</si>
  <si>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</si>
  <si>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</si>
  <si>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</si>
  <si>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</si>
  <si>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</si>
  <si>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</si>
  <si>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</si>
  <si>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</si>
  <si>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</si>
  <si>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</si>
  <si>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</si>
  <si>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</si>
  <si>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</si>
  <si>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</si>
  <si>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</si>
  <si>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</si>
  <si>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</si>
  <si>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</si>
  <si>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</si>
  <si>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</si>
  <si>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</si>
  <si>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</si>
  <si>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</si>
  <si>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</si>
  <si>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</si>
  <si>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</si>
  <si>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</si>
  <si>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</si>
  <si>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</si>
  <si>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</si>
  <si>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</si>
  <si>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</si>
  <si>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</si>
  <si>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</si>
  <si>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</si>
  <si>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</si>
  <si>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</si>
  <si>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</si>
  <si>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</si>
  <si>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</si>
  <si>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</si>
  <si>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</si>
  <si>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</si>
  <si>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</si>
  <si>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</si>
  <si>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</si>
  <si>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</si>
  <si>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</si>
  <si>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</si>
  <si>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</si>
  <si>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</si>
  <si>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</si>
  <si>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</si>
  <si>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</si>
  <si>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</si>
  <si>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</si>
  <si>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</si>
  <si>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</si>
  <si>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</si>
  <si>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</si>
  <si>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</si>
  <si>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</si>
  <si>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</si>
  <si>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</si>
  <si>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</si>
  <si>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</si>
  <si>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</si>
  <si>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</si>
  <si>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</si>
  <si>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</si>
  <si>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</si>
  <si>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</si>
  <si>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</si>
  <si>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</si>
  <si>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</si>
  <si>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</si>
  <si>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</si>
  <si>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</si>
  <si>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</si>
  <si>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</si>
  <si>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</si>
  <si>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</si>
  <si>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</si>
  <si>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</si>
  <si>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</si>
  <si>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</si>
  <si>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</si>
  <si>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</si>
  <si>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</si>
  <si>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</si>
  <si>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</si>
  <si>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</si>
  <si>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</si>
  <si>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</si>
  <si>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</si>
  <si>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</si>
  <si>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</si>
  <si>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</si>
  <si>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</si>
  <si>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</si>
  <si>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</si>
  <si>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</si>
  <si>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</si>
  <si>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</si>
  <si>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</si>
  <si>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</si>
  <si>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</si>
  <si>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</si>
  <si>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</si>
  <si>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</si>
  <si>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</si>
  <si>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</si>
  <si>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</si>
  <si>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</si>
  <si>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</si>
  <si>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</si>
  <si>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</si>
  <si>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</si>
  <si>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</si>
  <si>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</si>
  <si>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</si>
  <si>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</si>
  <si>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</si>
  <si>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</si>
  <si>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</si>
  <si>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</si>
  <si>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</si>
  <si>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</si>
  <si>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</si>
  <si>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</si>
  <si>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</si>
  <si>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</si>
  <si>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</si>
  <si>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</si>
  <si>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</si>
  <si>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</si>
  <si>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</si>
  <si>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</si>
  <si>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</si>
  <si>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</si>
  <si>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</si>
  <si>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</si>
  <si>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</si>
  <si>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</si>
  <si>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</si>
  <si>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</si>
  <si>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</si>
  <si>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</si>
  <si>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</si>
  <si>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</si>
  <si>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</si>
  <si>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</si>
  <si>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</si>
  <si>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</si>
  <si>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</si>
  <si>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</si>
  <si>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</si>
  <si>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</si>
  <si>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</si>
  <si>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</si>
  <si>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</si>
  <si>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</si>
  <si>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</si>
  <si>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</si>
  <si>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</si>
  <si>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</si>
  <si>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</si>
  <si>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</si>
  <si>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</si>
  <si>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</si>
  <si>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</si>
  <si>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</si>
  <si>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</si>
  <si>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</si>
  <si>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</si>
  <si>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</si>
  <si>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</si>
  <si>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</si>
  <si>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</si>
  <si>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</si>
  <si>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</si>
  <si>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</si>
  <si>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</si>
  <si>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</si>
  <si>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</si>
  <si>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</si>
  <si>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</si>
  <si>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</si>
  <si>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</si>
  <si>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</si>
  <si>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</si>
  <si>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</si>
  <si>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</si>
  <si>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</si>
  <si>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 xml:space="preserve"> </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</si>
  <si>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</si>
  <si>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</si>
  <si>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</si>
  <si>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</si>
  <si>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</si>
  <si>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</si>
  <si>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</si>
  <si>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</si>
  <si>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</si>
  <si>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</si>
  <si>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</si>
  <si>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</si>
  <si>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</si>
  <si>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</si>
  <si>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</si>
  <si>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</si>
  <si>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</si>
  <si>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</si>
  <si>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</si>
  <si>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</si>
  <si>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</si>
  <si>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</si>
  <si>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</si>
  <si>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</si>
  <si>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8.5</t>
  </si>
  <si>
    <t>Nguyễn Văn Liệt</t>
  </si>
  <si>
    <t>8.4</t>
  </si>
  <si>
    <t>8.3</t>
  </si>
  <si>
    <t>8.2</t>
  </si>
  <si>
    <t>8.1</t>
  </si>
  <si>
    <t>Huyện Cầu Kè</t>
  </si>
  <si>
    <t>7.5</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</si>
  <si>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</si>
  <si>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</si>
  <si>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</si>
  <si>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</si>
  <si>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</si>
  <si>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</si>
  <si>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</si>
  <si>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</si>
  <si>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</si>
  <si>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</si>
  <si>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</si>
  <si>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</si>
  <si>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</si>
  <si>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</si>
  <si>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</si>
  <si>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6.1</t>
  </si>
  <si>
    <t>Huyện Tiểu Cần</t>
  </si>
  <si>
    <t>Dương Thanh Long</t>
  </si>
  <si>
    <t>5.4</t>
  </si>
  <si>
    <t>Trần Thị Điệp</t>
  </si>
  <si>
    <t>Huyện Cầu Ngang</t>
  </si>
  <si>
    <t>Lào Thị Hưởng</t>
  </si>
  <si>
    <t>Huyện Duyên Hải</t>
  </si>
  <si>
    <t>3.4</t>
  </si>
  <si>
    <t>Huỳnh Hoàng Vũ</t>
  </si>
  <si>
    <t>Ngô Văn Sỹ</t>
  </si>
  <si>
    <t>Thị Xã Duyên Hải</t>
  </si>
  <si>
    <t>Thạch Phong</t>
  </si>
  <si>
    <t>2.4</t>
  </si>
  <si>
    <t>Trần Tấn Vinh</t>
  </si>
  <si>
    <t>2.3</t>
  </si>
  <si>
    <t>Trần Văn Tuấn</t>
  </si>
  <si>
    <t>Huyện Châu Thành</t>
  </si>
  <si>
    <t>Hồ Quốc Nhi</t>
  </si>
  <si>
    <t>Lâm Sô Phone</t>
  </si>
  <si>
    <t>Lâm Văn Thừa</t>
  </si>
  <si>
    <t>Đặng Văn Hưởng</t>
  </si>
  <si>
    <t xml:space="preserve"> TP.Trà Vinh</t>
  </si>
  <si>
    <t>Cao Đức Phong</t>
  </si>
  <si>
    <t>Nguyễn Văn Dương</t>
  </si>
  <si>
    <t>Trương K.T.Luân</t>
  </si>
  <si>
    <t>Nguyên Văn Tam</t>
  </si>
  <si>
    <t>Phan Văn Phóng</t>
  </si>
  <si>
    <t>Chung Ngọc Cảnh</t>
  </si>
  <si>
    <t>Nguyễn Minh Khiêm</t>
  </si>
  <si>
    <t>Cục THADS TỈNH</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</si>
  <si>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</si>
  <si>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</si>
  <si>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</si>
  <si>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</si>
  <si>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</si>
  <si>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</si>
  <si>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</si>
  <si>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</si>
  <si>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Thi hành 
xong</t>
  </si>
  <si>
    <t>Tỷ lệ 
giảm án tồn</t>
  </si>
  <si>
    <t>Tỷ lệ: 
( %) (xong  + đình chỉ)/ Có điều kiện * 100%</t>
  </si>
  <si>
    <t>Tổng cục THADS</t>
  </si>
  <si>
    <t>Ngày nhận báo cáo:……/….…/ 2015</t>
  </si>
  <si>
    <t>Cục THADS tỉnh Trà Vinh</t>
  </si>
  <si>
    <t>Biểu số: 06.1/TK-THA</t>
  </si>
  <si>
    <t>Tỷ lệ: 
( %) (xong  + đình chỉ+Giảm thi hành an)/ Có điều kiện * 100%</t>
  </si>
  <si>
    <t xml:space="preserve">   KẾT QUẢ THI HÀNH ÁN DÂN SỰ TÍNH BẰNG TIỀN</t>
  </si>
  <si>
    <t>Biểu số: 07.1/TK-THA</t>
  </si>
  <si>
    <t>Có điều kiện / tổng số phải thi hành</t>
  </si>
  <si>
    <t>Có điều kiện chuyển kỳ sau</t>
  </si>
  <si>
    <t>19</t>
  </si>
  <si>
    <t>20</t>
  </si>
  <si>
    <t>21</t>
  </si>
  <si>
    <t>22</t>
  </si>
  <si>
    <t>23</t>
  </si>
  <si>
    <t>Trần Văn To</t>
  </si>
  <si>
    <t>Huỳnh Văn Kha</t>
  </si>
  <si>
    <t>Lê Thị Cẩm Thúy</t>
  </si>
  <si>
    <t>6.6</t>
  </si>
  <si>
    <t>Phan Ngọc Siêng</t>
  </si>
  <si>
    <t>5.5</t>
  </si>
  <si>
    <t>Số việc
 có ĐK 12/2017</t>
  </si>
  <si>
    <t>Số tiền
 có ĐK 12/2017</t>
  </si>
  <si>
    <t>SO SÁNH
SỐ tiền có
ĐK 12/2016-12/2017</t>
  </si>
  <si>
    <t>Số việc
 có ĐK 2017</t>
  </si>
  <si>
    <t>Tỷ lệ án tồn</t>
  </si>
  <si>
    <t>Nguyễn Minh Kiệt</t>
  </si>
  <si>
    <t>24</t>
  </si>
  <si>
    <t>25</t>
  </si>
  <si>
    <t>So sánh</t>
  </si>
  <si>
    <t>26</t>
  </si>
  <si>
    <t>Trần Minh Đang</t>
  </si>
  <si>
    <t>Nguyễn Quốc Việt</t>
  </si>
  <si>
    <t>2.5</t>
  </si>
  <si>
    <t>Nguyễn Hoàng Nhiên</t>
  </si>
  <si>
    <t>Kim Dong</t>
  </si>
  <si>
    <t xml:space="preserve"> Phùng Hữu Trí</t>
  </si>
  <si>
    <t>Nguyễn Thị Xuân Liễu</t>
  </si>
  <si>
    <t xml:space="preserve"> Hà T Thanh Loan</t>
  </si>
  <si>
    <t>8.6</t>
  </si>
  <si>
    <t>Thạch Thị Sa Gang</t>
  </si>
  <si>
    <t>9.5</t>
  </si>
  <si>
    <t>Thạch Đa Ra</t>
  </si>
  <si>
    <t>Nguyễn Thanh Tùng</t>
  </si>
  <si>
    <t>Trần T Ngọc Hương</t>
  </si>
  <si>
    <t>Phạm Văn Bửu</t>
  </si>
  <si>
    <t>Huỳnh Thanh Hải</t>
  </si>
  <si>
    <t>Huuỳnh Long Thắng</t>
  </si>
  <si>
    <t>Huỳnh Long Thắng</t>
  </si>
  <si>
    <t>Nguyễn Thanh Cao</t>
  </si>
  <si>
    <t xml:space="preserve"> Nguyễn Văn Liệt</t>
  </si>
  <si>
    <t>Huỳnh Công Thành</t>
  </si>
  <si>
    <t>Số chưa có điều kiện chuyển sổ theo dõi riêng</t>
  </si>
  <si>
    <t>27</t>
  </si>
  <si>
    <t>Số việc
 có ĐK 2018</t>
  </si>
  <si>
    <t>Thủy</t>
  </si>
  <si>
    <t>Kiệt</t>
  </si>
  <si>
    <t>SO SÁNH
SỐ VIỆC CÓ
ĐK 12/2018-12/2017</t>
  </si>
  <si>
    <t>Lâm Thị Bé Ba</t>
  </si>
  <si>
    <t>Số việc
 có ĐK 09/2019</t>
  </si>
  <si>
    <t>Số tiền
 có ĐK 09/2019</t>
  </si>
  <si>
    <t>Phạm Thị Như Thủy</t>
  </si>
  <si>
    <t>Trần Thị Thu Hiền</t>
  </si>
  <si>
    <t>Thạch Chanh Đa Ra</t>
  </si>
  <si>
    <t>3.5</t>
  </si>
  <si>
    <t>02 tháng / năm 2020</t>
  </si>
  <si>
    <t>Trương Thanh Hưng</t>
  </si>
  <si>
    <r>
      <rPr>
        <sz val="12"/>
        <color indexed="10"/>
        <rFont val="Times New Roman"/>
        <family val="1"/>
      </rPr>
      <t>Trà Vinh</t>
    </r>
    <r>
      <rPr>
        <sz val="12"/>
        <rFont val="Times New Roman"/>
        <family val="1"/>
      </rPr>
      <t>, ngày 03</t>
    </r>
    <r>
      <rPr>
        <sz val="12"/>
        <color indexed="10"/>
        <rFont val="Times New Roman"/>
        <family val="1"/>
      </rPr>
      <t xml:space="preserve"> </t>
    </r>
    <r>
      <rPr>
        <sz val="12"/>
        <rFont val="Times New Roman"/>
        <family val="1"/>
      </rPr>
      <t>tháng12 năm 2019</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</si>
</sst>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quot;00&quot;%"/>
    <numFmt numFmtId="212" formatCode="00.&quot;00&quot;%"/>
    <numFmt numFmtId="213" formatCode="00.&quot;0&quot;%"/>
    <numFmt numFmtId="214" formatCode="#,##0.0"/>
    <numFmt numFmtId="215" formatCode="#,##0\ _₫"/>
    <numFmt numFmtId="216" formatCode="#,##0;[Red]#,##0"/>
    <numFmt numFmtId="217" formatCode="0.0"/>
    <numFmt numFmtId="218" formatCode="_(* #,##0.0_);_(* \(#,##0.0\);_(* &quot;-&quot;_);_(@_)"/>
  </numFmts>
  <fonts count="18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7"/>
      <name val="Times New Roman"/>
      <family val="1"/>
    </font>
    <font>
      <b/>
      <sz val="11"/>
      <name val=".VnTime"/>
      <family val="2"/>
    </font>
    <font>
      <sz val="11"/>
      <name val=".VnTime"/>
      <family val="2"/>
    </font>
    <font>
      <sz val="6"/>
      <name val="Times New Roman"/>
      <family val="1"/>
    </font>
    <font>
      <sz val="8"/>
      <color indexed="10"/>
      <name val="Times New Roman"/>
      <family val="1"/>
    </font>
    <font>
      <sz val="5"/>
      <name val="Times New Roman"/>
      <family val="1"/>
    </font>
    <font>
      <b/>
      <i/>
      <sz val="5"/>
      <name val="Times New Roman"/>
      <family val="1"/>
    </font>
    <font>
      <i/>
      <sz val="5"/>
      <name val="Times New Roman"/>
      <family val="1"/>
    </font>
    <font>
      <b/>
      <i/>
      <sz val="7"/>
      <name val="Times New Roman"/>
      <family val="1"/>
    </font>
    <font>
      <i/>
      <sz val="7"/>
      <name val="Times New Roman"/>
      <family val="1"/>
    </font>
    <font>
      <b/>
      <sz val="5"/>
      <name val="Times New Roman"/>
      <family val="1"/>
    </font>
    <font>
      <sz val="10"/>
      <color indexed="8"/>
      <name val="Times New Roman"/>
      <family val="1"/>
    </font>
    <font>
      <sz val="8"/>
      <color indexed="8"/>
      <name val="Times New Roman"/>
      <family val="1"/>
    </font>
    <font>
      <i/>
      <sz val="8"/>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sz val="7"/>
      <color indexed="10"/>
      <name val="Times New Roman"/>
      <family val="1"/>
    </font>
    <font>
      <sz val="9"/>
      <color indexed="10"/>
      <name val="Times New Roman"/>
      <family val="1"/>
    </font>
    <font>
      <sz val="6"/>
      <color indexed="10"/>
      <name val="Times New Roman"/>
      <family val="1"/>
    </font>
    <font>
      <i/>
      <sz val="5"/>
      <color indexed="10"/>
      <name val="Times New Roman"/>
      <family val="1"/>
    </font>
    <font>
      <b/>
      <sz val="5"/>
      <color indexed="10"/>
      <name val="Times New Roman"/>
      <family val="1"/>
    </font>
    <font>
      <b/>
      <sz val="10"/>
      <color indexed="10"/>
      <name val="Times New Roman"/>
      <family val="1"/>
    </font>
    <font>
      <sz val="11"/>
      <color indexed="36"/>
      <name val="Times New Roman"/>
      <family val="1"/>
    </font>
    <font>
      <sz val="8"/>
      <color indexed="36"/>
      <name val="Times New Roman"/>
      <family val="1"/>
    </font>
    <font>
      <b/>
      <i/>
      <sz val="5"/>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8"/>
      <color rgb="FFFF0000"/>
      <name val="Times New Roman"/>
      <family val="1"/>
    </font>
    <font>
      <i/>
      <sz val="9"/>
      <color rgb="FFFF0000"/>
      <name val="Times New Roman"/>
      <family val="1"/>
    </font>
    <font>
      <sz val="7"/>
      <color rgb="FFFF0000"/>
      <name val="Times New Roman"/>
      <family val="1"/>
    </font>
    <font>
      <sz val="10"/>
      <color rgb="FFFF0000"/>
      <name val="Times New Roman"/>
      <family val="1"/>
    </font>
    <font>
      <sz val="9"/>
      <color rgb="FFFF0000"/>
      <name val="Times New Roman"/>
      <family val="1"/>
    </font>
    <font>
      <sz val="6"/>
      <color rgb="FFFF0000"/>
      <name val="Times New Roman"/>
      <family val="1"/>
    </font>
    <font>
      <i/>
      <sz val="5"/>
      <color rgb="FFFF0000"/>
      <name val="Times New Roman"/>
      <family val="1"/>
    </font>
    <font>
      <b/>
      <sz val="5"/>
      <color rgb="FFFF0000"/>
      <name val="Times New Roman"/>
      <family val="1"/>
    </font>
    <font>
      <sz val="11"/>
      <color rgb="FFFF0000"/>
      <name val="Times New Roman"/>
      <family val="1"/>
    </font>
    <font>
      <b/>
      <sz val="10"/>
      <color rgb="FFFF0000"/>
      <name val="Times New Roman"/>
      <family val="1"/>
    </font>
    <font>
      <sz val="11"/>
      <color rgb="FF7030A0"/>
      <name val="Times New Roman"/>
      <family val="1"/>
    </font>
    <font>
      <sz val="8"/>
      <color rgb="FF7030A0"/>
      <name val="Times New Roman"/>
      <family val="1"/>
    </font>
    <font>
      <sz val="8"/>
      <color rgb="FF000000"/>
      <name val="Times New Roman"/>
      <family val="1"/>
    </font>
    <font>
      <sz val="10"/>
      <color rgb="FF000000"/>
      <name val="Times New Roman"/>
      <family val="1"/>
    </font>
    <font>
      <sz val="10"/>
      <color theme="1"/>
      <name val="Times New Roman"/>
      <family val="1"/>
    </font>
    <font>
      <sz val="8"/>
      <color theme="1"/>
      <name val="Times New Roman"/>
      <family val="1"/>
    </font>
    <font>
      <b/>
      <i/>
      <sz val="9"/>
      <color rgb="FFFF0000"/>
      <name val="Times New Roman"/>
      <family val="1"/>
    </font>
    <font>
      <b/>
      <i/>
      <sz val="5"/>
      <color rgb="FFFF0000"/>
      <name val="Times New Roman"/>
      <family val="1"/>
    </font>
    <font>
      <b/>
      <sz val="8"/>
      <name val="Times New Roman"/>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2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4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2"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4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2"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42"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42"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2"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42"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42"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42"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42"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43"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3"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3"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43"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3"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3"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43"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3"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43"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3"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43"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3"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4"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45" fillId="37" borderId="1" applyNumberFormat="0" applyAlignment="0" applyProtection="0"/>
    <xf numFmtId="0" fontId="38" fillId="38" borderId="2" applyNumberFormat="0" applyAlignment="0" applyProtection="0"/>
    <xf numFmtId="0" fontId="38" fillId="38" borderId="2" applyNumberFormat="0" applyAlignment="0" applyProtection="0"/>
    <xf numFmtId="0" fontId="38" fillId="38" borderId="2" applyNumberFormat="0" applyAlignment="0" applyProtection="0"/>
    <xf numFmtId="0" fontId="38" fillId="38" borderId="2" applyNumberFormat="0" applyAlignment="0" applyProtection="0"/>
    <xf numFmtId="0" fontId="146" fillId="39" borderId="3" applyNumberFormat="0" applyAlignment="0" applyProtection="0"/>
    <xf numFmtId="0" fontId="39" fillId="40" borderId="4" applyNumberFormat="0" applyAlignment="0" applyProtection="0"/>
    <xf numFmtId="0" fontId="39" fillId="40" borderId="4" applyNumberFormat="0" applyAlignment="0" applyProtection="0"/>
    <xf numFmtId="0" fontId="39" fillId="40" borderId="4" applyNumberFormat="0" applyAlignment="0" applyProtection="0"/>
    <xf numFmtId="0" fontId="3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1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49"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0"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51"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52"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52"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53" fillId="42" borderId="1" applyNumberFormat="0" applyAlignment="0" applyProtection="0"/>
    <xf numFmtId="0" fontId="45" fillId="9" borderId="2" applyNumberFormat="0" applyAlignment="0" applyProtection="0"/>
    <xf numFmtId="0" fontId="45" fillId="9" borderId="2" applyNumberFormat="0" applyAlignment="0" applyProtection="0"/>
    <xf numFmtId="0" fontId="45" fillId="9" borderId="2" applyNumberFormat="0" applyAlignment="0" applyProtection="0"/>
    <xf numFmtId="0" fontId="45" fillId="9" borderId="2" applyNumberFormat="0" applyAlignment="0" applyProtection="0"/>
    <xf numFmtId="0" fontId="154"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55"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14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56" fillId="37" borderId="15" applyNumberFormat="0" applyAlignment="0" applyProtection="0"/>
    <xf numFmtId="0" fontId="48" fillId="38" borderId="16" applyNumberFormat="0" applyAlignment="0" applyProtection="0"/>
    <xf numFmtId="0" fontId="48" fillId="38" borderId="16"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147" fillId="0" borderId="0" applyFont="0" applyFill="0" applyBorder="0" applyAlignment="0" applyProtection="0"/>
    <xf numFmtId="0" fontId="157"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8"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5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1058">
    <xf numFmtId="0" fontId="0" fillId="0" borderId="0" xfId="0" applyAlignment="1">
      <alignment/>
    </xf>
    <xf numFmtId="49" fontId="0" fillId="0" borderId="0" xfId="0" applyNumberFormat="1" applyFill="1" applyAlignment="1">
      <alignment/>
    </xf>
    <xf numFmtId="49" fontId="9" fillId="0" borderId="0" xfId="150" applyNumberFormat="1" applyFont="1" applyBorder="1" applyAlignment="1">
      <alignment vertical="center"/>
    </xf>
    <xf numFmtId="49" fontId="9" fillId="0" borderId="19" xfId="150"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17" applyNumberFormat="1" applyFont="1" applyFill="1" applyBorder="1" applyAlignment="1" applyProtection="1">
      <alignment horizontal="center" vertical="center"/>
      <protection/>
    </xf>
    <xf numFmtId="49" fontId="0" fillId="47" borderId="0" xfId="219" applyNumberFormat="1" applyFont="1" applyFill="1" applyBorder="1" applyAlignment="1">
      <alignment horizontal="left"/>
      <protection/>
    </xf>
    <xf numFmtId="49" fontId="0" fillId="0" borderId="0" xfId="219" applyNumberFormat="1" applyFont="1">
      <alignment/>
      <protection/>
    </xf>
    <xf numFmtId="49" fontId="0" fillId="0" borderId="0" xfId="219" applyNumberFormat="1">
      <alignment/>
      <protection/>
    </xf>
    <xf numFmtId="49" fontId="0" fillId="0" borderId="0" xfId="219" applyNumberFormat="1" applyFont="1" applyAlignment="1">
      <alignment horizontal="left"/>
      <protection/>
    </xf>
    <xf numFmtId="49" fontId="0" fillId="0" borderId="0" xfId="219" applyNumberFormat="1" applyFont="1" applyBorder="1" applyAlignment="1">
      <alignment wrapText="1"/>
      <protection/>
    </xf>
    <xf numFmtId="49" fontId="15" fillId="0" borderId="0" xfId="219" applyNumberFormat="1" applyFont="1" applyAlignment="1">
      <alignment/>
      <protection/>
    </xf>
    <xf numFmtId="49" fontId="0" fillId="0" borderId="0" xfId="219" applyNumberFormat="1" applyFont="1" applyBorder="1" applyAlignment="1">
      <alignment horizontal="left" wrapText="1"/>
      <protection/>
    </xf>
    <xf numFmtId="49" fontId="18" fillId="0" borderId="0" xfId="219" applyNumberFormat="1" applyFont="1" applyAlignment="1">
      <alignment horizontal="left"/>
      <protection/>
    </xf>
    <xf numFmtId="49" fontId="0" fillId="0" borderId="0" xfId="219" applyNumberFormat="1" applyFont="1" applyFill="1" applyAlignment="1">
      <alignment/>
      <protection/>
    </xf>
    <xf numFmtId="49" fontId="0" fillId="0" borderId="0" xfId="219" applyNumberFormat="1" applyFont="1" applyFill="1" applyAlignment="1">
      <alignment horizontal="center"/>
      <protection/>
    </xf>
    <xf numFmtId="49" fontId="0" fillId="0" borderId="0" xfId="219" applyNumberFormat="1" applyFont="1" applyAlignment="1">
      <alignment horizontal="center"/>
      <protection/>
    </xf>
    <xf numFmtId="49" fontId="0" fillId="0" borderId="0" xfId="219" applyNumberFormat="1" applyFont="1" applyFill="1">
      <alignment/>
      <protection/>
    </xf>
    <xf numFmtId="49" fontId="13" fillId="47" borderId="22" xfId="219" applyNumberFormat="1" applyFont="1" applyFill="1" applyBorder="1" applyAlignment="1">
      <alignment/>
      <protection/>
    </xf>
    <xf numFmtId="49" fontId="7" fillId="0" borderId="20" xfId="219" applyNumberFormat="1" applyFont="1" applyFill="1" applyBorder="1" applyAlignment="1">
      <alignment horizontal="center" vertical="center" wrapText="1"/>
      <protection/>
    </xf>
    <xf numFmtId="49" fontId="52" fillId="48" borderId="20" xfId="219" applyNumberFormat="1" applyFont="1" applyFill="1" applyBorder="1" applyAlignment="1">
      <alignment horizontal="center"/>
      <protection/>
    </xf>
    <xf numFmtId="49" fontId="7" fillId="0" borderId="21" xfId="219" applyNumberFormat="1" applyFont="1" applyFill="1" applyBorder="1" applyAlignment="1">
      <alignment horizontal="center" vertical="center" wrapText="1"/>
      <protection/>
    </xf>
    <xf numFmtId="49" fontId="7" fillId="0" borderId="20" xfId="219" applyNumberFormat="1" applyFont="1" applyBorder="1" applyAlignment="1">
      <alignment horizontal="center" vertical="center" wrapText="1"/>
      <protection/>
    </xf>
    <xf numFmtId="49" fontId="53" fillId="0" borderId="20" xfId="219" applyNumberFormat="1" applyFont="1" applyFill="1" applyBorder="1" applyAlignment="1">
      <alignment horizontal="center" vertical="center" wrapText="1"/>
      <protection/>
    </xf>
    <xf numFmtId="49" fontId="18" fillId="0" borderId="20" xfId="219" applyNumberFormat="1" applyFont="1" applyBorder="1" applyAlignment="1">
      <alignment horizontal="center" vertical="center"/>
      <protection/>
    </xf>
    <xf numFmtId="3" fontId="0" fillId="0" borderId="20" xfId="219" applyNumberFormat="1" applyFont="1" applyBorder="1" applyAlignment="1">
      <alignment horizontal="center" vertical="center"/>
      <protection/>
    </xf>
    <xf numFmtId="3" fontId="0" fillId="0" borderId="20" xfId="219" applyNumberFormat="1" applyFont="1" applyBorder="1" applyAlignment="1">
      <alignment vertical="center"/>
      <protection/>
    </xf>
    <xf numFmtId="49" fontId="0" fillId="0" borderId="0" xfId="219" applyNumberFormat="1" applyAlignment="1">
      <alignment vertical="center"/>
      <protection/>
    </xf>
    <xf numFmtId="3" fontId="51" fillId="3" borderId="20" xfId="219" applyNumberFormat="1" applyFont="1" applyFill="1" applyBorder="1" applyAlignment="1">
      <alignment vertical="center"/>
      <protection/>
    </xf>
    <xf numFmtId="3" fontId="56" fillId="3" borderId="20" xfId="219" applyNumberFormat="1" applyFont="1" applyFill="1" applyBorder="1" applyAlignment="1">
      <alignment vertical="center"/>
      <protection/>
    </xf>
    <xf numFmtId="49" fontId="57" fillId="0" borderId="20" xfId="219" applyNumberFormat="1" applyFont="1" applyBorder="1" applyAlignment="1">
      <alignment horizontal="center" vertical="center"/>
      <protection/>
    </xf>
    <xf numFmtId="3" fontId="25" fillId="44" borderId="20" xfId="219" applyNumberFormat="1" applyFont="1" applyFill="1" applyBorder="1" applyAlignment="1">
      <alignment vertical="center"/>
      <protection/>
    </xf>
    <xf numFmtId="3" fontId="3" fillId="48" borderId="20" xfId="219" applyNumberFormat="1" applyFont="1" applyFill="1" applyBorder="1" applyAlignment="1">
      <alignment horizontal="center" vertical="center"/>
      <protection/>
    </xf>
    <xf numFmtId="3" fontId="3" fillId="48" borderId="20" xfId="219" applyNumberFormat="1" applyFont="1" applyFill="1" applyBorder="1" applyAlignment="1">
      <alignment vertical="center"/>
      <protection/>
    </xf>
    <xf numFmtId="49" fontId="7" fillId="44" borderId="20" xfId="219" applyNumberFormat="1" applyFont="1" applyFill="1" applyBorder="1" applyAlignment="1">
      <alignment horizontal="center" vertical="center"/>
      <protection/>
    </xf>
    <xf numFmtId="49" fontId="7" fillId="44" borderId="20" xfId="219" applyNumberFormat="1" applyFont="1" applyFill="1" applyBorder="1" applyAlignment="1">
      <alignment horizontal="left" vertical="center"/>
      <protection/>
    </xf>
    <xf numFmtId="3" fontId="28" fillId="48" borderId="20" xfId="219" applyNumberFormat="1" applyFont="1" applyFill="1" applyBorder="1" applyAlignment="1">
      <alignment vertical="center"/>
      <protection/>
    </xf>
    <xf numFmtId="3" fontId="28" fillId="0" borderId="20" xfId="219" applyNumberFormat="1" applyFont="1" applyFill="1" applyBorder="1" applyAlignment="1">
      <alignment vertical="center"/>
      <protection/>
    </xf>
    <xf numFmtId="9" fontId="0" fillId="0" borderId="0" xfId="232" applyFont="1" applyAlignment="1">
      <alignment vertical="center"/>
    </xf>
    <xf numFmtId="49" fontId="7" fillId="44" borderId="23" xfId="219" applyNumberFormat="1" applyFont="1" applyFill="1" applyBorder="1" applyAlignment="1">
      <alignment horizontal="center" vertical="center"/>
      <protection/>
    </xf>
    <xf numFmtId="3" fontId="25" fillId="44" borderId="20" xfId="219" applyNumberFormat="1" applyFont="1" applyFill="1" applyBorder="1" applyAlignment="1">
      <alignment vertical="center"/>
      <protection/>
    </xf>
    <xf numFmtId="49" fontId="4" fillId="0" borderId="20" xfId="219" applyNumberFormat="1" applyFont="1" applyBorder="1" applyAlignment="1">
      <alignment horizontal="center" vertical="center"/>
      <protection/>
    </xf>
    <xf numFmtId="49" fontId="4" fillId="47" borderId="20" xfId="219" applyNumberFormat="1" applyFont="1" applyFill="1" applyBorder="1" applyAlignment="1">
      <alignment horizontal="left" vertical="center"/>
      <protection/>
    </xf>
    <xf numFmtId="49" fontId="5" fillId="47" borderId="20" xfId="219" applyNumberFormat="1" applyFont="1" applyFill="1" applyBorder="1" applyAlignment="1">
      <alignment horizontal="left" vertical="center"/>
      <protection/>
    </xf>
    <xf numFmtId="3" fontId="28" fillId="0" borderId="20" xfId="220" applyNumberFormat="1" applyFont="1" applyFill="1" applyBorder="1" applyAlignment="1">
      <alignment vertical="center"/>
      <protection/>
    </xf>
    <xf numFmtId="49" fontId="20" fillId="0" borderId="0" xfId="219" applyNumberFormat="1" applyFont="1" applyAlignment="1">
      <alignment vertical="center"/>
      <protection/>
    </xf>
    <xf numFmtId="49" fontId="4" fillId="47" borderId="20" xfId="219" applyNumberFormat="1" applyFont="1" applyFill="1" applyBorder="1" applyAlignment="1">
      <alignment horizontal="left" vertical="center"/>
      <protection/>
    </xf>
    <xf numFmtId="3" fontId="28" fillId="0" borderId="20" xfId="220" applyNumberFormat="1" applyFont="1" applyFill="1" applyBorder="1" applyAlignment="1">
      <alignment horizontal="center" vertical="center"/>
      <protection/>
    </xf>
    <xf numFmtId="49" fontId="0" fillId="0" borderId="0" xfId="219" applyNumberFormat="1" applyFill="1">
      <alignment/>
      <protection/>
    </xf>
    <xf numFmtId="49" fontId="20" fillId="0" borderId="0" xfId="219" applyNumberFormat="1" applyFont="1">
      <alignment/>
      <protection/>
    </xf>
    <xf numFmtId="49" fontId="28" fillId="0" borderId="0" xfId="219" applyNumberFormat="1" applyFont="1" applyFill="1" applyBorder="1" applyAlignment="1">
      <alignment horizontal="center" wrapText="1"/>
      <protection/>
    </xf>
    <xf numFmtId="49" fontId="58" fillId="0" borderId="0" xfId="219" applyNumberFormat="1" applyFont="1" applyBorder="1">
      <alignment/>
      <protection/>
    </xf>
    <xf numFmtId="49" fontId="59" fillId="0" borderId="0" xfId="219" applyNumberFormat="1" applyFont="1">
      <alignment/>
      <protection/>
    </xf>
    <xf numFmtId="49" fontId="1" fillId="0" borderId="0" xfId="219" applyNumberFormat="1" applyFont="1">
      <alignment/>
      <protection/>
    </xf>
    <xf numFmtId="9" fontId="1" fillId="0" borderId="0" xfId="232" applyFont="1" applyAlignment="1">
      <alignment/>
    </xf>
    <xf numFmtId="49" fontId="60" fillId="0" borderId="0" xfId="219" applyNumberFormat="1" applyFont="1" applyBorder="1">
      <alignment/>
      <protection/>
    </xf>
    <xf numFmtId="49" fontId="25" fillId="0" borderId="0" xfId="219" applyNumberFormat="1" applyFont="1" applyBorder="1" applyAlignment="1">
      <alignment horizontal="center" wrapText="1"/>
      <protection/>
    </xf>
    <xf numFmtId="49" fontId="25" fillId="0" borderId="0" xfId="219" applyNumberFormat="1" applyFont="1" applyFill="1" applyBorder="1" applyAlignment="1">
      <alignment horizontal="center" wrapText="1"/>
      <protection/>
    </xf>
    <xf numFmtId="49" fontId="61" fillId="0" borderId="0" xfId="219" applyNumberFormat="1" applyFont="1" applyBorder="1">
      <alignment/>
      <protection/>
    </xf>
    <xf numFmtId="49" fontId="62" fillId="0" borderId="0" xfId="219" applyNumberFormat="1" applyFont="1" applyBorder="1" applyAlignment="1">
      <alignment wrapText="1"/>
      <protection/>
    </xf>
    <xf numFmtId="49" fontId="2" fillId="0" borderId="0" xfId="219" applyNumberFormat="1" applyFont="1" applyBorder="1">
      <alignment/>
      <protection/>
    </xf>
    <xf numFmtId="49" fontId="39" fillId="0" borderId="0" xfId="219" applyNumberFormat="1" applyFont="1" applyBorder="1" applyAlignment="1">
      <alignment horizontal="center" wrapText="1"/>
      <protection/>
    </xf>
    <xf numFmtId="49" fontId="39" fillId="0" borderId="0" xfId="219" applyNumberFormat="1" applyFont="1" applyFill="1" applyBorder="1" applyAlignment="1">
      <alignment horizontal="center" wrapText="1"/>
      <protection/>
    </xf>
    <xf numFmtId="49" fontId="63" fillId="0" borderId="0" xfId="219" applyNumberFormat="1" applyFont="1" applyBorder="1">
      <alignment/>
      <protection/>
    </xf>
    <xf numFmtId="49" fontId="28" fillId="0" borderId="0" xfId="219" applyNumberFormat="1" applyFont="1">
      <alignment/>
      <protection/>
    </xf>
    <xf numFmtId="49" fontId="28" fillId="0" borderId="0" xfId="219" applyNumberFormat="1" applyFont="1" applyFill="1">
      <alignment/>
      <protection/>
    </xf>
    <xf numFmtId="49" fontId="28" fillId="47" borderId="0" xfId="219" applyNumberFormat="1" applyFont="1" applyFill="1">
      <alignment/>
      <protection/>
    </xf>
    <xf numFmtId="0" fontId="25" fillId="0" borderId="0" xfId="219" applyFont="1" applyAlignment="1">
      <alignment horizontal="center"/>
      <protection/>
    </xf>
    <xf numFmtId="49" fontId="25" fillId="47" borderId="0" xfId="219" applyNumberFormat="1" applyFont="1" applyFill="1" applyAlignment="1">
      <alignment horizontal="center"/>
      <protection/>
    </xf>
    <xf numFmtId="0" fontId="65" fillId="0" borderId="0" xfId="219" applyFont="1" applyAlignment="1">
      <alignment/>
      <protection/>
    </xf>
    <xf numFmtId="0" fontId="3" fillId="0" borderId="0" xfId="219" applyFont="1" applyAlignment="1">
      <alignment/>
      <protection/>
    </xf>
    <xf numFmtId="49" fontId="30" fillId="0" borderId="0" xfId="219" applyNumberFormat="1" applyFont="1">
      <alignment/>
      <protection/>
    </xf>
    <xf numFmtId="3" fontId="0" fillId="0" borderId="0" xfId="219" applyNumberFormat="1" applyFont="1" applyFill="1">
      <alignment/>
      <protection/>
    </xf>
    <xf numFmtId="49" fontId="3" fillId="0" borderId="0" xfId="219" applyNumberFormat="1" applyFont="1" applyFill="1" applyAlignment="1">
      <alignment wrapText="1"/>
      <protection/>
    </xf>
    <xf numFmtId="49" fontId="0" fillId="0" borderId="0" xfId="219" applyNumberFormat="1" applyFont="1" applyFill="1" applyBorder="1" applyAlignment="1">
      <alignment/>
      <protection/>
    </xf>
    <xf numFmtId="49" fontId="0" fillId="0" borderId="0" xfId="219" applyNumberFormat="1" applyFont="1" applyFill="1" applyBorder="1">
      <alignment/>
      <protection/>
    </xf>
    <xf numFmtId="49" fontId="19" fillId="0" borderId="22" xfId="219" applyNumberFormat="1" applyFont="1" applyFill="1" applyBorder="1" applyAlignment="1">
      <alignment/>
      <protection/>
    </xf>
    <xf numFmtId="49" fontId="5" fillId="0" borderId="22" xfId="219" applyNumberFormat="1" applyFont="1" applyFill="1" applyBorder="1" applyAlignment="1">
      <alignment horizontal="center"/>
      <protection/>
    </xf>
    <xf numFmtId="49" fontId="0" fillId="0" borderId="0" xfId="219" applyNumberFormat="1" applyFill="1" applyBorder="1">
      <alignment/>
      <protection/>
    </xf>
    <xf numFmtId="49" fontId="6" fillId="0" borderId="20" xfId="219" applyNumberFormat="1" applyFont="1" applyFill="1" applyBorder="1" applyAlignment="1">
      <alignment horizontal="center" vertical="center" wrapText="1"/>
      <protection/>
    </xf>
    <xf numFmtId="49" fontId="19" fillId="0" borderId="20" xfId="219" applyNumberFormat="1" applyFont="1" applyFill="1" applyBorder="1" applyAlignment="1">
      <alignment horizontal="center" vertical="center" wrapText="1"/>
      <protection/>
    </xf>
    <xf numFmtId="3" fontId="29" fillId="3" borderId="20" xfId="219" applyNumberFormat="1" applyFont="1" applyFill="1" applyBorder="1" applyAlignment="1">
      <alignment horizontal="center" vertical="center" wrapText="1"/>
      <protection/>
    </xf>
    <xf numFmtId="3" fontId="68" fillId="3" borderId="20" xfId="219" applyNumberFormat="1" applyFont="1" applyFill="1" applyBorder="1" applyAlignment="1">
      <alignment horizontal="center" vertical="center" wrapText="1"/>
      <protection/>
    </xf>
    <xf numFmtId="3" fontId="6" fillId="44" borderId="20" xfId="219" applyNumberFormat="1" applyFont="1" applyFill="1" applyBorder="1" applyAlignment="1">
      <alignment horizontal="center" vertical="center" wrapText="1"/>
      <protection/>
    </xf>
    <xf numFmtId="49" fontId="7" fillId="0" borderId="20" xfId="219" applyNumberFormat="1" applyFont="1" applyFill="1" applyBorder="1" applyAlignment="1">
      <alignment horizontal="center"/>
      <protection/>
    </xf>
    <xf numFmtId="49" fontId="7" fillId="0" borderId="20" xfId="219" applyNumberFormat="1" applyFont="1" applyFill="1" applyBorder="1" applyAlignment="1">
      <alignment horizontal="left"/>
      <protection/>
    </xf>
    <xf numFmtId="3" fontId="5" fillId="44" borderId="20" xfId="219" applyNumberFormat="1" applyFont="1" applyFill="1" applyBorder="1" applyAlignment="1">
      <alignment horizontal="center" vertical="center" wrapText="1"/>
      <protection/>
    </xf>
    <xf numFmtId="3" fontId="5" fillId="0" borderId="20" xfId="219" applyNumberFormat="1" applyFont="1" applyFill="1" applyBorder="1" applyAlignment="1">
      <alignment horizontal="center" vertical="center" wrapText="1"/>
      <protection/>
    </xf>
    <xf numFmtId="9" fontId="0" fillId="0" borderId="0" xfId="232" applyFont="1" applyFill="1" applyAlignment="1">
      <alignment/>
    </xf>
    <xf numFmtId="49" fontId="7" fillId="44" borderId="23" xfId="219" applyNumberFormat="1" applyFont="1" applyFill="1" applyBorder="1" applyAlignment="1">
      <alignment horizontal="center"/>
      <protection/>
    </xf>
    <xf numFmtId="49" fontId="7" fillId="44" borderId="20" xfId="219" applyNumberFormat="1" applyFont="1" applyFill="1" applyBorder="1" applyAlignment="1">
      <alignment horizontal="left"/>
      <protection/>
    </xf>
    <xf numFmtId="49" fontId="4" fillId="0" borderId="23" xfId="219" applyNumberFormat="1" applyFont="1" applyFill="1" applyBorder="1" applyAlignment="1">
      <alignment horizontal="center"/>
      <protection/>
    </xf>
    <xf numFmtId="49" fontId="4" fillId="47" borderId="20" xfId="219" applyNumberFormat="1" applyFont="1" applyFill="1" applyBorder="1" applyAlignment="1">
      <alignment horizontal="left"/>
      <protection/>
    </xf>
    <xf numFmtId="3" fontId="5" fillId="47" borderId="20" xfId="219" applyNumberFormat="1" applyFont="1" applyFill="1" applyBorder="1" applyAlignment="1">
      <alignment horizontal="center" vertical="center" wrapText="1"/>
      <protection/>
    </xf>
    <xf numFmtId="49" fontId="5" fillId="47" borderId="20" xfId="219" applyNumberFormat="1" applyFont="1" applyFill="1" applyBorder="1" applyAlignment="1">
      <alignment horizontal="left"/>
      <protection/>
    </xf>
    <xf numFmtId="49" fontId="6" fillId="0" borderId="19" xfId="219" applyNumberFormat="1" applyFont="1" applyFill="1" applyBorder="1" applyAlignment="1">
      <alignment horizontal="center"/>
      <protection/>
    </xf>
    <xf numFmtId="49" fontId="6" fillId="0" borderId="19" xfId="219" applyNumberFormat="1" applyFont="1" applyFill="1" applyBorder="1" applyAlignment="1">
      <alignment horizontal="left"/>
      <protection/>
    </xf>
    <xf numFmtId="3" fontId="5" fillId="0" borderId="19" xfId="219" applyNumberFormat="1" applyFont="1" applyFill="1" applyBorder="1" applyAlignment="1">
      <alignment horizontal="center" vertical="center" wrapText="1"/>
      <protection/>
    </xf>
    <xf numFmtId="49" fontId="15" fillId="0" borderId="0" xfId="219" applyNumberFormat="1" applyFont="1" applyFill="1" applyBorder="1" applyAlignment="1">
      <alignment vertical="center" wrapText="1"/>
      <protection/>
    </xf>
    <xf numFmtId="49" fontId="69" fillId="0" borderId="0" xfId="219" applyNumberFormat="1" applyFont="1" applyFill="1">
      <alignment/>
      <protection/>
    </xf>
    <xf numFmtId="49" fontId="4" fillId="0" borderId="0" xfId="219" applyNumberFormat="1" applyFont="1" applyFill="1">
      <alignment/>
      <protection/>
    </xf>
    <xf numFmtId="49" fontId="0" fillId="47" borderId="0" xfId="219" applyNumberFormat="1" applyFont="1" applyFill="1">
      <alignment/>
      <protection/>
    </xf>
    <xf numFmtId="49" fontId="3" fillId="47" borderId="0" xfId="219" applyNumberFormat="1" applyFont="1" applyFill="1" applyAlignment="1">
      <alignment horizontal="center"/>
      <protection/>
    </xf>
    <xf numFmtId="49" fontId="22" fillId="0" borderId="0" xfId="219" applyNumberFormat="1" applyFont="1" applyFill="1">
      <alignment/>
      <protection/>
    </xf>
    <xf numFmtId="49" fontId="3" fillId="0" borderId="0" xfId="219" applyNumberFormat="1" applyFont="1" applyFill="1">
      <alignment/>
      <protection/>
    </xf>
    <xf numFmtId="49" fontId="13" fillId="0" borderId="0" xfId="219" applyNumberFormat="1" applyFont="1" applyFill="1" applyAlignment="1">
      <alignment/>
      <protection/>
    </xf>
    <xf numFmtId="49" fontId="13" fillId="0" borderId="0" xfId="219" applyNumberFormat="1" applyFont="1" applyFill="1" applyAlignment="1">
      <alignment wrapText="1"/>
      <protection/>
    </xf>
    <xf numFmtId="49" fontId="13" fillId="0" borderId="0" xfId="219" applyNumberFormat="1" applyFont="1" applyFill="1" applyAlignment="1">
      <alignment horizontal="left" wrapText="1"/>
      <protection/>
    </xf>
    <xf numFmtId="49" fontId="0" fillId="0" borderId="0" xfId="219" applyNumberFormat="1" applyAlignment="1">
      <alignment horizontal="left"/>
      <protection/>
    </xf>
    <xf numFmtId="49" fontId="0" fillId="0" borderId="0" xfId="219" applyNumberFormat="1" applyFont="1" applyBorder="1" applyAlignment="1">
      <alignment horizontal="left"/>
      <protection/>
    </xf>
    <xf numFmtId="49" fontId="13" fillId="0" borderId="20" xfId="219" applyNumberFormat="1" applyFont="1" applyBorder="1" applyAlignment="1">
      <alignment horizontal="center"/>
      <protection/>
    </xf>
    <xf numFmtId="3" fontId="4" fillId="4" borderId="20" xfId="220" applyNumberFormat="1" applyFont="1" applyFill="1" applyBorder="1" applyAlignment="1">
      <alignment horizontal="center" vertical="center"/>
      <protection/>
    </xf>
    <xf numFmtId="3" fontId="31" fillId="47" borderId="20" xfId="219" applyNumberFormat="1" applyFont="1" applyFill="1" applyBorder="1" applyAlignment="1">
      <alignment horizontal="center" vertical="center"/>
      <protection/>
    </xf>
    <xf numFmtId="3" fontId="17" fillId="3" borderId="20" xfId="219" applyNumberFormat="1" applyFont="1" applyFill="1" applyBorder="1" applyAlignment="1">
      <alignment horizontal="center" vertical="center"/>
      <protection/>
    </xf>
    <xf numFmtId="3" fontId="33" fillId="3" borderId="20" xfId="219" applyNumberFormat="1" applyFont="1" applyFill="1" applyBorder="1" applyAlignment="1">
      <alignment horizontal="center" vertical="center"/>
      <protection/>
    </xf>
    <xf numFmtId="3" fontId="7" fillId="44" borderId="20" xfId="219" applyNumberFormat="1" applyFont="1" applyFill="1" applyBorder="1" applyAlignment="1">
      <alignment horizontal="center" vertical="center"/>
      <protection/>
    </xf>
    <xf numFmtId="3" fontId="7" fillId="44" borderId="20" xfId="219" applyNumberFormat="1" applyFont="1" applyFill="1" applyBorder="1" applyAlignment="1">
      <alignment horizontal="center" vertical="center"/>
      <protection/>
    </xf>
    <xf numFmtId="3" fontId="7" fillId="4" borderId="20" xfId="220" applyNumberFormat="1" applyFont="1" applyFill="1" applyBorder="1" applyAlignment="1">
      <alignment horizontal="center" vertical="center"/>
      <protection/>
    </xf>
    <xf numFmtId="49" fontId="7" fillId="0" borderId="20" xfId="219" applyNumberFormat="1" applyFont="1" applyBorder="1" applyAlignment="1">
      <alignment horizontal="center" vertical="center"/>
      <protection/>
    </xf>
    <xf numFmtId="49" fontId="7" fillId="47" borderId="20" xfId="219" applyNumberFormat="1" applyFont="1" applyFill="1" applyBorder="1" applyAlignment="1">
      <alignment horizontal="left" vertical="center"/>
      <protection/>
    </xf>
    <xf numFmtId="3" fontId="4" fillId="47" borderId="20" xfId="219" applyNumberFormat="1" applyFont="1" applyFill="1" applyBorder="1" applyAlignment="1">
      <alignment horizontal="center" vertical="center"/>
      <protection/>
    </xf>
    <xf numFmtId="3" fontId="4" fillId="44" borderId="20" xfId="219" applyNumberFormat="1" applyFont="1" applyFill="1" applyBorder="1" applyAlignment="1">
      <alignment horizontal="center" vertical="center"/>
      <protection/>
    </xf>
    <xf numFmtId="49" fontId="4" fillId="0" borderId="23" xfId="219" applyNumberFormat="1" applyFont="1" applyBorder="1" applyAlignment="1">
      <alignment horizontal="center" vertical="center"/>
      <protection/>
    </xf>
    <xf numFmtId="49" fontId="0" fillId="0" borderId="0" xfId="219" applyNumberFormat="1" applyFont="1" applyAlignment="1">
      <alignment vertical="center"/>
      <protection/>
    </xf>
    <xf numFmtId="3" fontId="4" fillId="0" borderId="20" xfId="219" applyNumberFormat="1" applyFont="1" applyFill="1" applyBorder="1" applyAlignment="1">
      <alignment horizontal="center" vertical="center"/>
      <protection/>
    </xf>
    <xf numFmtId="3" fontId="4" fillId="47" borderId="20" xfId="220" applyNumberFormat="1" applyFont="1" applyFill="1" applyBorder="1" applyAlignment="1">
      <alignment horizontal="center" vertical="center"/>
      <protection/>
    </xf>
    <xf numFmtId="49" fontId="4" fillId="47" borderId="23" xfId="219" applyNumberFormat="1" applyFont="1" applyFill="1" applyBorder="1" applyAlignment="1">
      <alignment horizontal="center" vertical="center"/>
      <protection/>
    </xf>
    <xf numFmtId="9" fontId="20" fillId="0" borderId="0" xfId="232" applyFont="1" applyAlignment="1">
      <alignment vertical="center"/>
    </xf>
    <xf numFmtId="49" fontId="4" fillId="0" borderId="0" xfId="219" applyNumberFormat="1" applyFont="1" applyBorder="1" applyAlignment="1">
      <alignment horizontal="center"/>
      <protection/>
    </xf>
    <xf numFmtId="49" fontId="4" fillId="47" borderId="0" xfId="219" applyNumberFormat="1" applyFont="1" applyFill="1" applyBorder="1" applyAlignment="1">
      <alignment horizontal="left"/>
      <protection/>
    </xf>
    <xf numFmtId="49" fontId="0" fillId="0" borderId="0" xfId="219" applyNumberFormat="1" applyFont="1" applyFill="1" applyBorder="1" applyAlignment="1">
      <alignment horizontal="center"/>
      <protection/>
    </xf>
    <xf numFmtId="3" fontId="4" fillId="47" borderId="19" xfId="220" applyNumberFormat="1" applyFont="1" applyFill="1" applyBorder="1" applyAlignment="1">
      <alignment horizontal="center" vertical="center"/>
      <protection/>
    </xf>
    <xf numFmtId="9" fontId="0" fillId="0" borderId="0" xfId="232" applyFont="1" applyAlignment="1">
      <alignment/>
    </xf>
    <xf numFmtId="49" fontId="28" fillId="0" borderId="0" xfId="219" applyNumberFormat="1" applyFont="1" applyBorder="1" applyAlignment="1">
      <alignment wrapText="1"/>
      <protection/>
    </xf>
    <xf numFmtId="3" fontId="4" fillId="47" borderId="0" xfId="220" applyNumberFormat="1" applyFont="1" applyFill="1" applyBorder="1" applyAlignment="1">
      <alignment horizontal="center" vertical="center"/>
      <protection/>
    </xf>
    <xf numFmtId="49" fontId="28" fillId="0" borderId="0" xfId="219" applyNumberFormat="1" applyFont="1" applyAlignment="1">
      <alignment wrapText="1"/>
      <protection/>
    </xf>
    <xf numFmtId="49" fontId="36" fillId="0" borderId="0" xfId="219" applyNumberFormat="1" applyFont="1">
      <alignment/>
      <protection/>
    </xf>
    <xf numFmtId="49" fontId="36" fillId="0" borderId="0" xfId="219" applyNumberFormat="1" applyFont="1" applyAlignment="1">
      <alignment wrapText="1"/>
      <protection/>
    </xf>
    <xf numFmtId="49" fontId="3" fillId="47" borderId="0" xfId="219" applyNumberFormat="1" applyFont="1" applyFill="1" applyAlignment="1">
      <alignment/>
      <protection/>
    </xf>
    <xf numFmtId="49" fontId="71" fillId="0" borderId="0" xfId="219" applyNumberFormat="1" applyFont="1">
      <alignment/>
      <protection/>
    </xf>
    <xf numFmtId="49" fontId="13" fillId="0" borderId="0" xfId="219" applyNumberFormat="1" applyFont="1" applyBorder="1" applyAlignment="1">
      <alignment wrapText="1"/>
      <protection/>
    </xf>
    <xf numFmtId="49" fontId="0" fillId="0" borderId="0" xfId="221" applyNumberFormat="1" applyFont="1" applyAlignment="1">
      <alignment horizontal="left"/>
      <protection/>
    </xf>
    <xf numFmtId="49" fontId="14" fillId="0" borderId="0" xfId="221" applyNumberFormat="1" applyFont="1" applyAlignment="1">
      <alignment wrapText="1"/>
      <protection/>
    </xf>
    <xf numFmtId="49" fontId="3" fillId="47" borderId="0" xfId="221" applyNumberFormat="1" applyFont="1" applyFill="1" applyBorder="1" applyAlignment="1">
      <alignment horizontal="left"/>
      <protection/>
    </xf>
    <xf numFmtId="49" fontId="0" fillId="47" borderId="0" xfId="221" applyNumberFormat="1" applyFont="1" applyFill="1" applyBorder="1" applyAlignment="1">
      <alignment horizontal="left"/>
      <protection/>
    </xf>
    <xf numFmtId="49" fontId="26" fillId="0" borderId="0" xfId="221" applyNumberFormat="1" applyFont="1">
      <alignment/>
      <protection/>
    </xf>
    <xf numFmtId="49" fontId="0" fillId="47" borderId="0" xfId="221" applyNumberFormat="1" applyFont="1" applyFill="1" applyBorder="1" applyAlignment="1">
      <alignment/>
      <protection/>
    </xf>
    <xf numFmtId="49" fontId="3" fillId="0" borderId="0" xfId="221" applyNumberFormat="1" applyFont="1" applyBorder="1" applyAlignment="1">
      <alignment horizontal="left"/>
      <protection/>
    </xf>
    <xf numFmtId="49" fontId="0" fillId="0" borderId="0" xfId="221" applyNumberFormat="1" applyFont="1" applyBorder="1" applyAlignment="1">
      <alignment horizontal="left"/>
      <protection/>
    </xf>
    <xf numFmtId="49" fontId="0" fillId="0" borderId="0" xfId="221" applyNumberFormat="1" applyFont="1" applyBorder="1" applyAlignment="1">
      <alignment/>
      <protection/>
    </xf>
    <xf numFmtId="49" fontId="18" fillId="0" borderId="22" xfId="221" applyNumberFormat="1" applyFont="1" applyBorder="1" applyAlignment="1">
      <alignment horizontal="left"/>
      <protection/>
    </xf>
    <xf numFmtId="49" fontId="3" fillId="0" borderId="22" xfId="221" applyNumberFormat="1" applyFont="1" applyBorder="1" applyAlignment="1">
      <alignment horizontal="left"/>
      <protection/>
    </xf>
    <xf numFmtId="49" fontId="26" fillId="0" borderId="0" xfId="221" applyNumberFormat="1" applyFont="1" applyFill="1">
      <alignment/>
      <protection/>
    </xf>
    <xf numFmtId="49" fontId="26" fillId="0" borderId="0" xfId="221" applyNumberFormat="1" applyFont="1" applyAlignment="1">
      <alignment vertical="center"/>
      <protection/>
    </xf>
    <xf numFmtId="49" fontId="6" fillId="47" borderId="20" xfId="221" applyNumberFormat="1" applyFont="1" applyFill="1" applyBorder="1" applyAlignment="1">
      <alignment horizontal="left" vertical="center"/>
      <protection/>
    </xf>
    <xf numFmtId="49" fontId="1" fillId="0" borderId="0" xfId="221" applyNumberFormat="1" applyFont="1">
      <alignment/>
      <protection/>
    </xf>
    <xf numFmtId="49" fontId="28" fillId="0" borderId="0" xfId="221" applyNumberFormat="1" applyFont="1" applyBorder="1" applyAlignment="1">
      <alignment/>
      <protection/>
    </xf>
    <xf numFmtId="49" fontId="78" fillId="0" borderId="0" xfId="221" applyNumberFormat="1" applyFont="1">
      <alignment/>
      <protection/>
    </xf>
    <xf numFmtId="49" fontId="25" fillId="0" borderId="0" xfId="221" applyNumberFormat="1" applyFont="1" applyBorder="1" applyAlignment="1">
      <alignment/>
      <protection/>
    </xf>
    <xf numFmtId="49" fontId="5" fillId="0" borderId="0" xfId="221" applyNumberFormat="1" applyFont="1">
      <alignment/>
      <protection/>
    </xf>
    <xf numFmtId="49" fontId="28" fillId="0" borderId="0" xfId="221" applyNumberFormat="1" applyFont="1" applyAlignment="1">
      <alignment horizontal="center"/>
      <protection/>
    </xf>
    <xf numFmtId="49" fontId="28" fillId="0" borderId="0" xfId="221" applyNumberFormat="1" applyFont="1">
      <alignment/>
      <protection/>
    </xf>
    <xf numFmtId="49" fontId="78" fillId="0" borderId="0" xfId="221" applyNumberFormat="1" applyFont="1" applyAlignment="1">
      <alignment horizontal="center"/>
      <protection/>
    </xf>
    <xf numFmtId="49" fontId="13" fillId="0" borderId="0" xfId="221" applyNumberFormat="1" applyFont="1" applyBorder="1" applyAlignment="1">
      <alignment wrapText="1"/>
      <protection/>
    </xf>
    <xf numFmtId="49" fontId="80" fillId="0" borderId="0" xfId="221" applyNumberFormat="1" applyFont="1">
      <alignment/>
      <protection/>
    </xf>
    <xf numFmtId="9" fontId="26" fillId="0" borderId="0" xfId="232" applyFont="1" applyAlignment="1">
      <alignment/>
    </xf>
    <xf numFmtId="3" fontId="0" fillId="47" borderId="0" xfId="221" applyNumberFormat="1" applyFont="1" applyFill="1" applyBorder="1" applyAlignment="1">
      <alignment/>
      <protection/>
    </xf>
    <xf numFmtId="0" fontId="26" fillId="0" borderId="0" xfId="221">
      <alignment/>
      <protection/>
    </xf>
    <xf numFmtId="0" fontId="0" fillId="0" borderId="0" xfId="221" applyFont="1" applyAlignment="1">
      <alignment horizontal="left"/>
      <protection/>
    </xf>
    <xf numFmtId="0" fontId="0" fillId="0" borderId="0" xfId="221" applyFont="1" applyBorder="1" applyAlignment="1">
      <alignment/>
      <protection/>
    </xf>
    <xf numFmtId="0" fontId="0" fillId="0" borderId="0" xfId="221" applyFont="1" applyBorder="1" applyAlignment="1">
      <alignment horizontal="left"/>
      <protection/>
    </xf>
    <xf numFmtId="0" fontId="26" fillId="0" borderId="0" xfId="221" applyFont="1">
      <alignment/>
      <protection/>
    </xf>
    <xf numFmtId="0" fontId="6" fillId="0" borderId="20" xfId="221" applyFont="1" applyBorder="1" applyAlignment="1">
      <alignment horizontal="center" vertical="center"/>
      <protection/>
    </xf>
    <xf numFmtId="0" fontId="6" fillId="47" borderId="20" xfId="221" applyFont="1" applyFill="1" applyBorder="1" applyAlignment="1">
      <alignment horizontal="left" vertical="center"/>
      <protection/>
    </xf>
    <xf numFmtId="9" fontId="26" fillId="0" borderId="0" xfId="232" applyFont="1" applyAlignment="1">
      <alignment vertical="center"/>
    </xf>
    <xf numFmtId="0" fontId="5" fillId="0" borderId="23" xfId="221" applyFont="1" applyBorder="1" applyAlignment="1">
      <alignment horizontal="center" vertical="center"/>
      <protection/>
    </xf>
    <xf numFmtId="0" fontId="26" fillId="0" borderId="0" xfId="221" applyFont="1" applyAlignment="1">
      <alignment vertical="center"/>
      <protection/>
    </xf>
    <xf numFmtId="0" fontId="1" fillId="0" borderId="0" xfId="221" applyFont="1">
      <alignment/>
      <protection/>
    </xf>
    <xf numFmtId="0" fontId="25" fillId="0" borderId="0" xfId="221" applyFont="1" applyBorder="1" applyAlignment="1">
      <alignment horizontal="center" wrapText="1"/>
      <protection/>
    </xf>
    <xf numFmtId="0" fontId="28" fillId="0" borderId="0" xfId="221" applyFont="1" applyBorder="1" applyAlignment="1">
      <alignment wrapText="1"/>
      <protection/>
    </xf>
    <xf numFmtId="0" fontId="25" fillId="0" borderId="0" xfId="221" applyNumberFormat="1" applyFont="1" applyBorder="1" applyAlignment="1">
      <alignment/>
      <protection/>
    </xf>
    <xf numFmtId="0" fontId="78" fillId="0" borderId="0" xfId="221" applyFont="1">
      <alignment/>
      <protection/>
    </xf>
    <xf numFmtId="0" fontId="25" fillId="0" borderId="0" xfId="221" applyNumberFormat="1" applyFont="1" applyBorder="1" applyAlignment="1">
      <alignment horizontal="center"/>
      <protection/>
    </xf>
    <xf numFmtId="0" fontId="5" fillId="0" borderId="0" xfId="221" applyFont="1">
      <alignment/>
      <protection/>
    </xf>
    <xf numFmtId="0" fontId="28" fillId="0" borderId="0" xfId="221" applyFont="1">
      <alignment/>
      <protection/>
    </xf>
    <xf numFmtId="0" fontId="25" fillId="0" borderId="0" xfId="219" applyFont="1" applyAlignment="1">
      <alignment/>
      <protection/>
    </xf>
    <xf numFmtId="49" fontId="19" fillId="0" borderId="0" xfId="221" applyNumberFormat="1" applyFont="1">
      <alignment/>
      <protection/>
    </xf>
    <xf numFmtId="49" fontId="4" fillId="47" borderId="0" xfId="221" applyNumberFormat="1" applyFont="1" applyFill="1" applyBorder="1" applyAlignment="1">
      <alignment horizontal="left"/>
      <protection/>
    </xf>
    <xf numFmtId="49" fontId="4" fillId="0" borderId="0" xfId="221" applyNumberFormat="1" applyFont="1" applyBorder="1" applyAlignment="1">
      <alignment horizontal="left"/>
      <protection/>
    </xf>
    <xf numFmtId="49" fontId="0" fillId="0" borderId="22" xfId="221" applyNumberFormat="1" applyFont="1" applyBorder="1" applyAlignment="1">
      <alignment/>
      <protection/>
    </xf>
    <xf numFmtId="49" fontId="6" fillId="0" borderId="20" xfId="221" applyNumberFormat="1" applyFont="1" applyFill="1" applyBorder="1" applyAlignment="1">
      <alignment horizontal="center" vertical="center" wrapText="1"/>
      <protection/>
    </xf>
    <xf numFmtId="49" fontId="5" fillId="0" borderId="24" xfId="221" applyNumberFormat="1" applyFont="1" applyFill="1" applyBorder="1">
      <alignment/>
      <protection/>
    </xf>
    <xf numFmtId="49" fontId="5" fillId="0" borderId="0" xfId="221" applyNumberFormat="1" applyFont="1" applyFill="1">
      <alignment/>
      <protection/>
    </xf>
    <xf numFmtId="49" fontId="24" fillId="0" borderId="0" xfId="221" applyNumberFormat="1" applyFont="1" applyFill="1">
      <alignment/>
      <protection/>
    </xf>
    <xf numFmtId="49" fontId="6" fillId="0" borderId="25" xfId="221" applyNumberFormat="1" applyFont="1" applyFill="1" applyBorder="1" applyAlignment="1">
      <alignment horizontal="center" vertical="center" wrapText="1"/>
      <protection/>
    </xf>
    <xf numFmtId="49" fontId="19" fillId="0" borderId="20" xfId="221" applyNumberFormat="1" applyFont="1" applyFill="1" applyBorder="1" applyAlignment="1">
      <alignment horizontal="center" vertical="center"/>
      <protection/>
    </xf>
    <xf numFmtId="49" fontId="19" fillId="0" borderId="20" xfId="221" applyNumberFormat="1" applyFont="1" applyBorder="1" applyAlignment="1">
      <alignment horizontal="center" vertical="center"/>
      <protection/>
    </xf>
    <xf numFmtId="49" fontId="5" fillId="0" borderId="0" xfId="221" applyNumberFormat="1" applyFont="1" applyAlignment="1">
      <alignment vertical="center"/>
      <protection/>
    </xf>
    <xf numFmtId="3" fontId="29" fillId="3" borderId="20" xfId="221" applyNumberFormat="1" applyFont="1" applyFill="1" applyBorder="1" applyAlignment="1">
      <alignment horizontal="center" vertical="center"/>
      <protection/>
    </xf>
    <xf numFmtId="3" fontId="68" fillId="3" borderId="20" xfId="221" applyNumberFormat="1" applyFont="1" applyFill="1" applyBorder="1" applyAlignment="1">
      <alignment horizontal="center" vertical="center"/>
      <protection/>
    </xf>
    <xf numFmtId="3" fontId="29" fillId="4" borderId="20" xfId="221" applyNumberFormat="1" applyFont="1" applyFill="1" applyBorder="1" applyAlignment="1">
      <alignment horizontal="center" vertical="center"/>
      <protection/>
    </xf>
    <xf numFmtId="3" fontId="6" fillId="44" borderId="20" xfId="221" applyNumberFormat="1" applyFont="1" applyFill="1" applyBorder="1" applyAlignment="1">
      <alignment horizontal="center" vertical="center"/>
      <protection/>
    </xf>
    <xf numFmtId="49" fontId="6" fillId="0" borderId="20" xfId="221" applyNumberFormat="1" applyFont="1" applyBorder="1" applyAlignment="1">
      <alignment horizontal="center" vertical="center"/>
      <protection/>
    </xf>
    <xf numFmtId="3" fontId="5" fillId="47" borderId="20" xfId="221" applyNumberFormat="1" applyFont="1" applyFill="1" applyBorder="1" applyAlignment="1">
      <alignment horizontal="center" vertical="center"/>
      <protection/>
    </xf>
    <xf numFmtId="49" fontId="6" fillId="0" borderId="23" xfId="221" applyNumberFormat="1" applyFont="1" applyBorder="1" applyAlignment="1">
      <alignment horizontal="center" vertical="center"/>
      <protection/>
    </xf>
    <xf numFmtId="49" fontId="5" fillId="0" borderId="23" xfId="221" applyNumberFormat="1" applyFont="1" applyBorder="1" applyAlignment="1">
      <alignment horizontal="center" vertical="center"/>
      <protection/>
    </xf>
    <xf numFmtId="3" fontId="5" fillId="0" borderId="20" xfId="221" applyNumberFormat="1" applyFont="1" applyBorder="1" applyAlignment="1">
      <alignment horizontal="center" vertical="center"/>
      <protection/>
    </xf>
    <xf numFmtId="49" fontId="86" fillId="0" borderId="0" xfId="221" applyNumberFormat="1" applyFont="1">
      <alignment/>
      <protection/>
    </xf>
    <xf numFmtId="49" fontId="26" fillId="0" borderId="0" xfId="221" applyNumberFormat="1">
      <alignment/>
      <protection/>
    </xf>
    <xf numFmtId="49" fontId="28" fillId="0" borderId="0" xfId="221" applyNumberFormat="1" applyFont="1" applyBorder="1" applyAlignment="1">
      <alignment wrapText="1"/>
      <protection/>
    </xf>
    <xf numFmtId="49" fontId="21" fillId="0" borderId="0" xfId="221" applyNumberFormat="1" applyFont="1">
      <alignment/>
      <protection/>
    </xf>
    <xf numFmtId="49" fontId="30" fillId="0" borderId="0" xfId="221" applyNumberFormat="1" applyFont="1">
      <alignment/>
      <protection/>
    </xf>
    <xf numFmtId="49" fontId="30" fillId="0" borderId="0" xfId="221" applyNumberFormat="1" applyFont="1" applyAlignment="1">
      <alignment horizontal="center"/>
      <protection/>
    </xf>
    <xf numFmtId="0" fontId="4" fillId="0" borderId="0" xfId="221" applyNumberFormat="1" applyFont="1" applyAlignment="1">
      <alignment horizontal="left"/>
      <protection/>
    </xf>
    <xf numFmtId="0" fontId="5" fillId="0" borderId="0" xfId="221" applyFont="1" applyAlignment="1">
      <alignment/>
      <protection/>
    </xf>
    <xf numFmtId="3" fontId="5" fillId="0" borderId="0" xfId="221" applyNumberFormat="1" applyFont="1">
      <alignment/>
      <protection/>
    </xf>
    <xf numFmtId="0" fontId="7" fillId="0" borderId="0" xfId="221" applyFont="1" applyBorder="1" applyAlignment="1">
      <alignment/>
      <protection/>
    </xf>
    <xf numFmtId="0" fontId="26" fillId="0" borderId="24" xfId="221" applyFont="1" applyBorder="1">
      <alignment/>
      <protection/>
    </xf>
    <xf numFmtId="0" fontId="26" fillId="0" borderId="0" xfId="221" applyFont="1" applyBorder="1">
      <alignment/>
      <protection/>
    </xf>
    <xf numFmtId="0" fontId="12" fillId="0" borderId="20" xfId="221" applyFont="1" applyBorder="1" applyAlignment="1">
      <alignment horizontal="center" vertical="center" wrapText="1"/>
      <protection/>
    </xf>
    <xf numFmtId="0" fontId="19" fillId="0" borderId="23" xfId="221" applyFont="1" applyFill="1" applyBorder="1" applyAlignment="1">
      <alignment horizontal="center" vertical="center"/>
      <protection/>
    </xf>
    <xf numFmtId="0" fontId="19" fillId="0" borderId="20" xfId="221" applyFont="1" applyFill="1" applyBorder="1" applyAlignment="1">
      <alignment horizontal="center" vertical="center"/>
      <protection/>
    </xf>
    <xf numFmtId="0" fontId="19" fillId="0" borderId="20" xfId="221" applyFont="1" applyBorder="1" applyAlignment="1">
      <alignment horizontal="center" vertical="center"/>
      <protection/>
    </xf>
    <xf numFmtId="3" fontId="20" fillId="3" borderId="20" xfId="221" applyNumberFormat="1" applyFont="1" applyFill="1" applyBorder="1" applyAlignment="1">
      <alignment horizontal="center" vertical="center"/>
      <protection/>
    </xf>
    <xf numFmtId="3" fontId="34" fillId="3" borderId="20" xfId="221" applyNumberFormat="1" applyFont="1" applyFill="1" applyBorder="1" applyAlignment="1">
      <alignment horizontal="center" vertical="center"/>
      <protection/>
    </xf>
    <xf numFmtId="3" fontId="3" fillId="44" borderId="23" xfId="221" applyNumberFormat="1" applyFont="1" applyFill="1" applyBorder="1" applyAlignment="1">
      <alignment horizontal="center" vertical="center"/>
      <protection/>
    </xf>
    <xf numFmtId="3" fontId="0" fillId="48" borderId="23" xfId="221" applyNumberFormat="1" applyFont="1" applyFill="1" applyBorder="1" applyAlignment="1">
      <alignment horizontal="center" vertical="center"/>
      <protection/>
    </xf>
    <xf numFmtId="3" fontId="0" fillId="0" borderId="20" xfId="221" applyNumberFormat="1" applyFont="1" applyBorder="1" applyAlignment="1">
      <alignment horizontal="center" vertical="center"/>
      <protection/>
    </xf>
    <xf numFmtId="3" fontId="0" fillId="0" borderId="26" xfId="221" applyNumberFormat="1" applyFont="1" applyBorder="1" applyAlignment="1">
      <alignment horizontal="center" vertical="center"/>
      <protection/>
    </xf>
    <xf numFmtId="0" fontId="6" fillId="0" borderId="23" xfId="221" applyFont="1" applyBorder="1" applyAlignment="1">
      <alignment horizontal="center" vertical="center"/>
      <protection/>
    </xf>
    <xf numFmtId="3" fontId="0" fillId="44" borderId="23" xfId="221" applyNumberFormat="1" applyFont="1" applyFill="1" applyBorder="1" applyAlignment="1">
      <alignment horizontal="center" vertical="center"/>
      <protection/>
    </xf>
    <xf numFmtId="3" fontId="0" fillId="47" borderId="20" xfId="221" applyNumberFormat="1" applyFont="1" applyFill="1" applyBorder="1" applyAlignment="1">
      <alignment horizontal="center" vertical="center"/>
      <protection/>
    </xf>
    <xf numFmtId="3" fontId="0" fillId="47" borderId="26" xfId="221" applyNumberFormat="1" applyFont="1" applyFill="1" applyBorder="1" applyAlignment="1">
      <alignment horizontal="center" vertical="center"/>
      <protection/>
    </xf>
    <xf numFmtId="0" fontId="28" fillId="0" borderId="0" xfId="221" applyNumberFormat="1" applyFont="1" applyBorder="1" applyAlignment="1">
      <alignment/>
      <protection/>
    </xf>
    <xf numFmtId="0" fontId="87" fillId="0" borderId="0" xfId="221" applyFont="1">
      <alignment/>
      <protection/>
    </xf>
    <xf numFmtId="0" fontId="16" fillId="0" borderId="0" xfId="221" applyFont="1">
      <alignment/>
      <protection/>
    </xf>
    <xf numFmtId="0" fontId="27" fillId="0" borderId="0" xfId="221" applyFont="1">
      <alignment/>
      <protection/>
    </xf>
    <xf numFmtId="0" fontId="13" fillId="0" borderId="0" xfId="221" applyFont="1">
      <alignment/>
      <protection/>
    </xf>
    <xf numFmtId="49" fontId="13" fillId="0" borderId="0" xfId="221" applyNumberFormat="1" applyFont="1">
      <alignment/>
      <protection/>
    </xf>
    <xf numFmtId="0" fontId="80" fillId="0" borderId="0" xfId="221" applyFont="1">
      <alignment/>
      <protection/>
    </xf>
    <xf numFmtId="49" fontId="18" fillId="0" borderId="0" xfId="221" applyNumberFormat="1" applyFont="1" applyBorder="1" applyAlignment="1">
      <alignment/>
      <protection/>
    </xf>
    <xf numFmtId="49" fontId="26" fillId="0" borderId="0" xfId="221" applyNumberFormat="1" applyFont="1" applyAlignment="1">
      <alignment horizontal="center"/>
      <protection/>
    </xf>
    <xf numFmtId="3" fontId="19" fillId="47" borderId="22" xfId="221" applyNumberFormat="1" applyFont="1" applyFill="1" applyBorder="1" applyAlignment="1">
      <alignment horizontal="center"/>
      <protection/>
    </xf>
    <xf numFmtId="49" fontId="5" fillId="0" borderId="22" xfId="221" applyNumberFormat="1" applyFont="1" applyBorder="1" applyAlignment="1">
      <alignment/>
      <protection/>
    </xf>
    <xf numFmtId="49" fontId="26" fillId="0" borderId="0" xfId="221" applyNumberFormat="1" applyFill="1">
      <alignment/>
      <protection/>
    </xf>
    <xf numFmtId="49" fontId="26" fillId="0" borderId="0" xfId="221" applyNumberFormat="1" applyFill="1" applyAlignment="1">
      <alignment vertical="center" wrapText="1"/>
      <protection/>
    </xf>
    <xf numFmtId="49" fontId="26" fillId="0" borderId="0" xfId="221" applyNumberFormat="1" applyAlignment="1">
      <alignment vertical="center"/>
      <protection/>
    </xf>
    <xf numFmtId="3" fontId="5" fillId="44" borderId="20" xfId="221" applyNumberFormat="1" applyFont="1" applyFill="1" applyBorder="1" applyAlignment="1">
      <alignment horizontal="center" vertical="center"/>
      <protection/>
    </xf>
    <xf numFmtId="3" fontId="26" fillId="0" borderId="20" xfId="221" applyNumberFormat="1" applyFont="1" applyBorder="1" applyAlignment="1">
      <alignment horizontal="center" vertical="center"/>
      <protection/>
    </xf>
    <xf numFmtId="0" fontId="5" fillId="0" borderId="20" xfId="221" applyFont="1" applyBorder="1" applyAlignment="1">
      <alignment horizontal="center" vertical="center"/>
      <protection/>
    </xf>
    <xf numFmtId="3" fontId="5" fillId="0" borderId="20" xfId="221" applyNumberFormat="1" applyFont="1" applyFill="1" applyBorder="1" applyAlignment="1">
      <alignment horizontal="center" vertical="center"/>
      <protection/>
    </xf>
    <xf numFmtId="3" fontId="26" fillId="0" borderId="20" xfId="221" applyNumberFormat="1" applyFont="1" applyFill="1" applyBorder="1" applyAlignment="1">
      <alignment horizontal="center" vertical="center"/>
      <protection/>
    </xf>
    <xf numFmtId="49" fontId="26" fillId="0" borderId="0" xfId="221" applyNumberFormat="1" applyAlignment="1">
      <alignment horizontal="center"/>
      <protection/>
    </xf>
    <xf numFmtId="49" fontId="71" fillId="0" borderId="0" xfId="221" applyNumberFormat="1" applyFont="1" applyAlignment="1">
      <alignment horizontal="left"/>
      <protection/>
    </xf>
    <xf numFmtId="49" fontId="30" fillId="0" borderId="0" xfId="221" applyNumberFormat="1" applyFont="1" applyAlignment="1">
      <alignment/>
      <protection/>
    </xf>
    <xf numFmtId="49" fontId="3" fillId="47" borderId="0" xfId="221" applyNumberFormat="1" applyFont="1" applyFill="1" applyBorder="1" applyAlignment="1">
      <alignment/>
      <protection/>
    </xf>
    <xf numFmtId="49" fontId="3" fillId="0" borderId="0" xfId="221" applyNumberFormat="1" applyFont="1" applyAlignment="1">
      <alignment/>
      <protection/>
    </xf>
    <xf numFmtId="49" fontId="3" fillId="0" borderId="0" xfId="221" applyNumberFormat="1" applyFont="1" applyBorder="1" applyAlignment="1">
      <alignment/>
      <protection/>
    </xf>
    <xf numFmtId="49" fontId="6" fillId="0" borderId="22" xfId="221" applyNumberFormat="1" applyFont="1" applyBorder="1" applyAlignment="1">
      <alignment/>
      <protection/>
    </xf>
    <xf numFmtId="3" fontId="19" fillId="0" borderId="20" xfId="221" applyNumberFormat="1" applyFont="1" applyBorder="1" applyAlignment="1">
      <alignment horizontal="center" vertical="center"/>
      <protection/>
    </xf>
    <xf numFmtId="49" fontId="26" fillId="47" borderId="0" xfId="221" applyNumberFormat="1" applyFont="1" applyFill="1" applyAlignment="1">
      <alignment vertical="center"/>
      <protection/>
    </xf>
    <xf numFmtId="3" fontId="26" fillId="47" borderId="20" xfId="221" applyNumberFormat="1" applyFont="1" applyFill="1" applyBorder="1" applyAlignment="1">
      <alignment horizontal="center" vertical="center"/>
      <protection/>
    </xf>
    <xf numFmtId="3" fontId="90" fillId="0" borderId="20" xfId="221" applyNumberFormat="1" applyFont="1" applyBorder="1" applyAlignment="1">
      <alignment horizontal="center" vertical="center"/>
      <protection/>
    </xf>
    <xf numFmtId="0" fontId="5" fillId="0" borderId="19" xfId="221" applyFont="1" applyFill="1" applyBorder="1" applyAlignment="1">
      <alignment horizontal="center" vertical="center"/>
      <protection/>
    </xf>
    <xf numFmtId="49" fontId="6" fillId="0" borderId="19" xfId="219" applyNumberFormat="1" applyFont="1" applyFill="1" applyBorder="1" applyAlignment="1">
      <alignment horizontal="left" vertical="center"/>
      <protection/>
    </xf>
    <xf numFmtId="3" fontId="5" fillId="0" borderId="19" xfId="221" applyNumberFormat="1" applyFont="1" applyFill="1" applyBorder="1" applyAlignment="1">
      <alignment horizontal="center" vertical="center"/>
      <protection/>
    </xf>
    <xf numFmtId="3" fontId="19" fillId="0" borderId="19" xfId="221" applyNumberFormat="1" applyFont="1" applyFill="1" applyBorder="1" applyAlignment="1">
      <alignment horizontal="center" vertical="center"/>
      <protection/>
    </xf>
    <xf numFmtId="3" fontId="26" fillId="0" borderId="19" xfId="221" applyNumberFormat="1" applyFont="1" applyFill="1" applyBorder="1" applyAlignment="1">
      <alignment vertical="center"/>
      <protection/>
    </xf>
    <xf numFmtId="3" fontId="91" fillId="0" borderId="19" xfId="221" applyNumberFormat="1" applyFont="1" applyFill="1" applyBorder="1" applyAlignment="1">
      <alignment vertical="center"/>
      <protection/>
    </xf>
    <xf numFmtId="49" fontId="30" fillId="0" borderId="0" xfId="221" applyNumberFormat="1" applyFont="1" applyBorder="1" applyAlignment="1">
      <alignment/>
      <protection/>
    </xf>
    <xf numFmtId="49" fontId="28" fillId="0" borderId="0" xfId="221" applyNumberFormat="1" applyFont="1" applyBorder="1" applyAlignment="1">
      <alignment horizontal="center"/>
      <protection/>
    </xf>
    <xf numFmtId="49" fontId="28" fillId="0" borderId="0" xfId="221" applyNumberFormat="1" applyFont="1" applyAlignment="1">
      <alignment/>
      <protection/>
    </xf>
    <xf numFmtId="0" fontId="5" fillId="47" borderId="0" xfId="221" applyFont="1" applyFill="1" applyBorder="1" applyAlignment="1">
      <alignment/>
      <protection/>
    </xf>
    <xf numFmtId="49" fontId="92" fillId="0" borderId="0" xfId="221" applyNumberFormat="1" applyFont="1">
      <alignment/>
      <protection/>
    </xf>
    <xf numFmtId="49" fontId="93" fillId="0" borderId="0" xfId="221" applyNumberFormat="1" applyFont="1">
      <alignment/>
      <protection/>
    </xf>
    <xf numFmtId="49" fontId="94" fillId="0" borderId="0" xfId="221" applyNumberFormat="1" applyFont="1" applyAlignment="1">
      <alignment horizontal="center"/>
      <protection/>
    </xf>
    <xf numFmtId="49" fontId="25" fillId="47" borderId="0" xfId="219" applyNumberFormat="1" applyFont="1" applyFill="1" applyAlignment="1">
      <alignment/>
      <protection/>
    </xf>
    <xf numFmtId="49" fontId="79" fillId="0" borderId="0" xfId="221" applyNumberFormat="1" applyFont="1">
      <alignment/>
      <protection/>
    </xf>
    <xf numFmtId="49" fontId="30" fillId="0" borderId="0" xfId="221" applyNumberFormat="1" applyFont="1" applyBorder="1" applyAlignment="1">
      <alignment wrapText="1"/>
      <protection/>
    </xf>
    <xf numFmtId="49" fontId="82" fillId="0" borderId="0" xfId="221" applyNumberFormat="1" applyFont="1">
      <alignment/>
      <protection/>
    </xf>
    <xf numFmtId="49" fontId="77" fillId="0" borderId="0" xfId="221" applyNumberFormat="1" applyFont="1">
      <alignment/>
      <protection/>
    </xf>
    <xf numFmtId="49" fontId="14" fillId="0" borderId="0" xfId="221" applyNumberFormat="1" applyFont="1" applyFill="1" applyAlignment="1">
      <alignment wrapText="1"/>
      <protection/>
    </xf>
    <xf numFmtId="49" fontId="0" fillId="0" borderId="0" xfId="221" applyNumberFormat="1" applyFont="1" applyFill="1" applyBorder="1" applyAlignment="1">
      <alignment/>
      <protection/>
    </xf>
    <xf numFmtId="49" fontId="3" fillId="0" borderId="0" xfId="221" applyNumberFormat="1" applyFont="1" applyFill="1" applyBorder="1" applyAlignment="1">
      <alignment/>
      <protection/>
    </xf>
    <xf numFmtId="49" fontId="95" fillId="0" borderId="0" xfId="221" applyNumberFormat="1" applyFont="1" applyFill="1">
      <alignment/>
      <protection/>
    </xf>
    <xf numFmtId="49" fontId="26" fillId="0" borderId="0" xfId="221" applyNumberFormat="1" applyFont="1" applyFill="1" applyAlignment="1">
      <alignment horizontal="center"/>
      <protection/>
    </xf>
    <xf numFmtId="49" fontId="19" fillId="0" borderId="0" xfId="221" applyNumberFormat="1" applyFont="1" applyFill="1" applyBorder="1" applyAlignment="1">
      <alignment/>
      <protection/>
    </xf>
    <xf numFmtId="49" fontId="6" fillId="0" borderId="0" xfId="221" applyNumberFormat="1" applyFont="1" applyFill="1" applyBorder="1" applyAlignment="1">
      <alignment/>
      <protection/>
    </xf>
    <xf numFmtId="49" fontId="81" fillId="0" borderId="0" xfId="221" applyNumberFormat="1" applyFont="1" applyFill="1">
      <alignment/>
      <protection/>
    </xf>
    <xf numFmtId="49" fontId="81" fillId="0" borderId="0" xfId="221" applyNumberFormat="1" applyFont="1" applyFill="1" applyAlignment="1">
      <alignment/>
      <protection/>
    </xf>
    <xf numFmtId="49" fontId="19" fillId="0" borderId="27" xfId="221" applyNumberFormat="1" applyFont="1" applyFill="1" applyBorder="1" applyAlignment="1">
      <alignment horizontal="center" vertical="center"/>
      <protection/>
    </xf>
    <xf numFmtId="3" fontId="6" fillId="44" borderId="27" xfId="221" applyNumberFormat="1" applyFont="1" applyFill="1" applyBorder="1" applyAlignment="1">
      <alignment horizontal="center" vertical="center"/>
      <protection/>
    </xf>
    <xf numFmtId="3" fontId="6" fillId="44" borderId="23" xfId="221" applyNumberFormat="1" applyFont="1" applyFill="1" applyBorder="1" applyAlignment="1">
      <alignment horizontal="center" vertical="center"/>
      <protection/>
    </xf>
    <xf numFmtId="49" fontId="3" fillId="0" borderId="0" xfId="221" applyNumberFormat="1" applyFont="1" applyAlignment="1">
      <alignment horizontal="center"/>
      <protection/>
    </xf>
    <xf numFmtId="49" fontId="25" fillId="0" borderId="0" xfId="221" applyNumberFormat="1" applyFont="1">
      <alignment/>
      <protection/>
    </xf>
    <xf numFmtId="49" fontId="3" fillId="0" borderId="0" xfId="221" applyNumberFormat="1" applyFont="1">
      <alignment/>
      <protection/>
    </xf>
    <xf numFmtId="49" fontId="28" fillId="0" borderId="0" xfId="221" applyNumberFormat="1" applyFont="1">
      <alignment/>
      <protection/>
    </xf>
    <xf numFmtId="3" fontId="3" fillId="47" borderId="0" xfId="221" applyNumberFormat="1" applyFont="1" applyFill="1" applyBorder="1" applyAlignment="1">
      <alignment/>
      <protection/>
    </xf>
    <xf numFmtId="0" fontId="3" fillId="0" borderId="0" xfId="221" applyFont="1">
      <alignment/>
      <protection/>
    </xf>
    <xf numFmtId="0" fontId="4" fillId="0" borderId="0" xfId="221" applyFont="1" applyBorder="1" applyAlignment="1">
      <alignment horizontal="left"/>
      <protection/>
    </xf>
    <xf numFmtId="3" fontId="0" fillId="0" borderId="0" xfId="221" applyNumberFormat="1" applyFont="1" applyAlignment="1">
      <alignment horizontal="left"/>
      <protection/>
    </xf>
    <xf numFmtId="0" fontId="13" fillId="0" borderId="0" xfId="221" applyFont="1" applyBorder="1" applyAlignment="1">
      <alignment/>
      <protection/>
    </xf>
    <xf numFmtId="0" fontId="7" fillId="0" borderId="20" xfId="221" applyFont="1" applyFill="1" applyBorder="1" applyAlignment="1">
      <alignment horizontal="center" vertical="center" wrapText="1"/>
      <protection/>
    </xf>
    <xf numFmtId="0" fontId="3" fillId="0" borderId="0" xfId="221" applyFont="1" applyFill="1" applyBorder="1">
      <alignment/>
      <protection/>
    </xf>
    <xf numFmtId="0" fontId="3" fillId="0" borderId="0" xfId="221" applyFont="1" applyFill="1">
      <alignment/>
      <protection/>
    </xf>
    <xf numFmtId="3" fontId="18" fillId="0" borderId="20" xfId="221" applyNumberFormat="1" applyFont="1" applyBorder="1" applyAlignment="1">
      <alignment horizontal="center" vertical="center"/>
      <protection/>
    </xf>
    <xf numFmtId="0" fontId="0" fillId="0" borderId="0" xfId="221" applyFont="1" applyAlignment="1">
      <alignment horizontal="center" vertical="center"/>
      <protection/>
    </xf>
    <xf numFmtId="3" fontId="4" fillId="44" borderId="20" xfId="221" applyNumberFormat="1" applyFont="1" applyFill="1" applyBorder="1" applyAlignment="1">
      <alignment horizontal="center" vertical="center"/>
      <protection/>
    </xf>
    <xf numFmtId="0" fontId="3" fillId="0" borderId="0" xfId="221" applyFont="1" applyAlignment="1">
      <alignment vertical="center"/>
      <protection/>
    </xf>
    <xf numFmtId="9" fontId="3" fillId="0" borderId="0" xfId="232" applyFont="1" applyAlignment="1">
      <alignment vertical="center"/>
    </xf>
    <xf numFmtId="0" fontId="3" fillId="0" borderId="0" xfId="221" applyFont="1" applyAlignment="1">
      <alignment horizontal="center"/>
      <protection/>
    </xf>
    <xf numFmtId="0" fontId="25" fillId="0" borderId="0" xfId="221" applyFont="1">
      <alignment/>
      <protection/>
    </xf>
    <xf numFmtId="0" fontId="71" fillId="0" borderId="0" xfId="221" applyFont="1" applyAlignment="1">
      <alignment horizontal="center"/>
      <protection/>
    </xf>
    <xf numFmtId="49" fontId="51" fillId="0" borderId="0" xfId="221" applyNumberFormat="1" applyFont="1">
      <alignment/>
      <protection/>
    </xf>
    <xf numFmtId="49" fontId="96" fillId="0" borderId="0" xfId="221" applyNumberFormat="1" applyFont="1" applyBorder="1" applyAlignment="1">
      <alignment wrapText="1"/>
      <protection/>
    </xf>
    <xf numFmtId="0" fontId="30" fillId="0" borderId="0" xfId="221"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17"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17"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17"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217"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217"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217" applyNumberFormat="1" applyFont="1" applyFill="1" applyBorder="1" applyAlignment="1" applyProtection="1">
      <alignment horizontal="center" vertical="center"/>
      <protection/>
    </xf>
    <xf numFmtId="10" fontId="28" fillId="0" borderId="20" xfId="208" applyNumberFormat="1" applyFont="1" applyFill="1" applyBorder="1" applyAlignment="1">
      <alignment horizontal="center" vertical="center"/>
      <protection/>
    </xf>
    <xf numFmtId="10" fontId="51" fillId="0" borderId="20" xfId="208"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208" applyNumberFormat="1" applyFont="1" applyFill="1" applyBorder="1" applyAlignment="1">
      <alignment horizontal="center" vertical="center"/>
      <protection/>
    </xf>
    <xf numFmtId="3" fontId="56" fillId="47" borderId="20" xfId="217"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217" applyNumberFormat="1" applyFont="1" applyFill="1" applyBorder="1" applyAlignment="1" applyProtection="1">
      <alignment horizontal="center" vertical="center"/>
      <protection/>
    </xf>
    <xf numFmtId="10" fontId="56" fillId="0" borderId="36" xfId="208"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17" applyNumberFormat="1" applyFont="1" applyFill="1" applyBorder="1" applyAlignment="1" applyProtection="1">
      <alignment horizontal="center" vertical="center"/>
      <protection/>
    </xf>
    <xf numFmtId="3" fontId="4" fillId="47" borderId="37" xfId="217"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1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160" fillId="49" borderId="20" xfId="0" applyFont="1" applyFill="1" applyBorder="1" applyAlignment="1">
      <alignment/>
    </xf>
    <xf numFmtId="0" fontId="0" fillId="49" borderId="38" xfId="0" applyFont="1" applyFill="1" applyBorder="1" applyAlignment="1">
      <alignment/>
    </xf>
    <xf numFmtId="49" fontId="0" fillId="50" borderId="0" xfId="0" applyNumberFormat="1" applyFont="1" applyFill="1" applyAlignment="1">
      <alignment/>
    </xf>
    <xf numFmtId="49" fontId="0" fillId="50" borderId="0" xfId="0" applyNumberFormat="1" applyFont="1" applyFill="1" applyAlignment="1">
      <alignment/>
    </xf>
    <xf numFmtId="49" fontId="8" fillId="50" borderId="0" xfId="0" applyNumberFormat="1" applyFont="1" applyFill="1" applyAlignment="1">
      <alignment/>
    </xf>
    <xf numFmtId="0" fontId="0" fillId="50" borderId="0" xfId="0" applyNumberFormat="1" applyFont="1" applyFill="1" applyAlignment="1">
      <alignment/>
    </xf>
    <xf numFmtId="49" fontId="13" fillId="0" borderId="0" xfId="0" applyNumberFormat="1" applyFont="1" applyFill="1" applyAlignment="1">
      <alignment/>
    </xf>
    <xf numFmtId="49" fontId="28" fillId="0" borderId="0" xfId="0" applyNumberFormat="1" applyFont="1" applyFill="1" applyAlignment="1">
      <alignment/>
    </xf>
    <xf numFmtId="0" fontId="25" fillId="0" borderId="0" xfId="0" applyNumberFormat="1" applyFont="1" applyFill="1" applyAlignment="1">
      <alignment/>
    </xf>
    <xf numFmtId="49" fontId="101" fillId="0" borderId="0" xfId="0" applyNumberFormat="1" applyFont="1" applyFill="1" applyBorder="1" applyAlignment="1">
      <alignment/>
    </xf>
    <xf numFmtId="0" fontId="25" fillId="0" borderId="0" xfId="0" applyNumberFormat="1" applyFont="1" applyFill="1" applyBorder="1" applyAlignment="1">
      <alignment horizontal="center" wrapText="1"/>
    </xf>
    <xf numFmtId="0" fontId="25" fillId="0" borderId="0" xfId="0" applyNumberFormat="1" applyFont="1" applyFill="1" applyBorder="1" applyAlignment="1">
      <alignment/>
    </xf>
    <xf numFmtId="49" fontId="102" fillId="0" borderId="0" xfId="0" applyNumberFormat="1" applyFont="1" applyFill="1" applyBorder="1" applyAlignment="1">
      <alignment/>
    </xf>
    <xf numFmtId="49" fontId="4" fillId="0" borderId="0" xfId="0" applyNumberFormat="1" applyFont="1" applyFill="1" applyBorder="1" applyAlignment="1">
      <alignment/>
    </xf>
    <xf numFmtId="49" fontId="13" fillId="0" borderId="0" xfId="0" applyNumberFormat="1" applyFont="1" applyFill="1" applyBorder="1" applyAlignment="1">
      <alignment/>
    </xf>
    <xf numFmtId="49" fontId="13" fillId="0" borderId="0" xfId="0" applyNumberFormat="1" applyFont="1" applyFill="1" applyBorder="1" applyAlignment="1">
      <alignment horizontal="center"/>
    </xf>
    <xf numFmtId="49" fontId="4" fillId="0" borderId="0" xfId="0" applyNumberFormat="1" applyFont="1" applyFill="1" applyAlignment="1">
      <alignment horizontal="center"/>
    </xf>
    <xf numFmtId="49" fontId="4" fillId="0" borderId="0" xfId="0" applyNumberFormat="1" applyFont="1" applyFill="1" applyAlignment="1">
      <alignment/>
    </xf>
    <xf numFmtId="0" fontId="4" fillId="0" borderId="0" xfId="0" applyNumberFormat="1" applyFont="1" applyFill="1" applyAlignment="1">
      <alignment wrapText="1"/>
    </xf>
    <xf numFmtId="0" fontId="0" fillId="0" borderId="0" xfId="0" applyNumberFormat="1" applyFont="1" applyFill="1" applyAlignment="1">
      <alignment/>
    </xf>
    <xf numFmtId="0" fontId="7" fillId="0" borderId="0" xfId="0" applyNumberFormat="1" applyFont="1" applyFill="1" applyAlignment="1">
      <alignment/>
    </xf>
    <xf numFmtId="49" fontId="2" fillId="0" borderId="0" xfId="0" applyNumberFormat="1" applyFont="1" applyFill="1" applyBorder="1" applyAlignment="1">
      <alignment/>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15" fillId="0" borderId="0" xfId="0" applyNumberFormat="1" applyFont="1" applyFill="1" applyAlignment="1">
      <alignment/>
    </xf>
    <xf numFmtId="49" fontId="0" fillId="0" borderId="0" xfId="0" applyNumberFormat="1" applyFill="1" applyBorder="1" applyAlignment="1">
      <alignment/>
    </xf>
    <xf numFmtId="0" fontId="5" fillId="0" borderId="0" xfId="218" applyNumberFormat="1" applyFont="1" applyFill="1" applyBorder="1" applyAlignment="1" applyProtection="1">
      <alignment horizontal="center" vertical="center"/>
      <protection/>
    </xf>
    <xf numFmtId="49" fontId="4" fillId="50" borderId="0" xfId="0" applyNumberFormat="1" applyFont="1" applyFill="1" applyAlignment="1">
      <alignment wrapText="1"/>
    </xf>
    <xf numFmtId="49" fontId="4" fillId="50" borderId="0" xfId="0" applyNumberFormat="1" applyFont="1" applyFill="1" applyAlignment="1">
      <alignment/>
    </xf>
    <xf numFmtId="49" fontId="7" fillId="50" borderId="0" xfId="0" applyNumberFormat="1" applyFont="1" applyFill="1" applyAlignment="1">
      <alignment/>
    </xf>
    <xf numFmtId="49" fontId="14" fillId="50" borderId="0" xfId="0" applyNumberFormat="1" applyFont="1" applyFill="1" applyBorder="1" applyAlignment="1">
      <alignment horizontal="center" wrapText="1"/>
    </xf>
    <xf numFmtId="49" fontId="3" fillId="50" borderId="0" xfId="0" applyNumberFormat="1" applyFont="1" applyFill="1" applyBorder="1" applyAlignment="1">
      <alignment/>
    </xf>
    <xf numFmtId="49" fontId="15" fillId="50" borderId="0" xfId="0" applyNumberFormat="1" applyFont="1" applyFill="1" applyBorder="1" applyAlignment="1">
      <alignment horizontal="center" wrapText="1"/>
    </xf>
    <xf numFmtId="49" fontId="15" fillId="50" borderId="19" xfId="0" applyNumberFormat="1" applyFont="1" applyFill="1" applyBorder="1" applyAlignment="1">
      <alignment wrapText="1"/>
    </xf>
    <xf numFmtId="194" fontId="29" fillId="0" borderId="0" xfId="0" applyNumberFormat="1" applyFont="1" applyBorder="1" applyAlignment="1">
      <alignment horizontal="center" vertical="center"/>
    </xf>
    <xf numFmtId="210" fontId="161" fillId="47" borderId="0" xfId="0" applyNumberFormat="1" applyFont="1" applyFill="1" applyBorder="1" applyAlignment="1">
      <alignment horizontal="center" vertical="center"/>
    </xf>
    <xf numFmtId="49" fontId="162" fillId="50" borderId="0" xfId="0" applyNumberFormat="1" applyFont="1" applyFill="1" applyBorder="1" applyAlignment="1" applyProtection="1">
      <alignment horizontal="center" vertical="center"/>
      <protection/>
    </xf>
    <xf numFmtId="49" fontId="162" fillId="50" borderId="20" xfId="0" applyNumberFormat="1" applyFont="1" applyFill="1" applyBorder="1" applyAlignment="1" applyProtection="1">
      <alignment horizontal="center" vertical="center"/>
      <protection/>
    </xf>
    <xf numFmtId="49" fontId="3" fillId="50" borderId="0" xfId="0" applyNumberFormat="1" applyFont="1" applyFill="1" applyAlignment="1">
      <alignment/>
    </xf>
    <xf numFmtId="49" fontId="0" fillId="50" borderId="0" xfId="0" applyNumberFormat="1" applyFont="1" applyFill="1" applyAlignment="1">
      <alignment horizontal="center"/>
    </xf>
    <xf numFmtId="194" fontId="160" fillId="50" borderId="0" xfId="0" applyNumberFormat="1" applyFont="1" applyFill="1" applyAlignment="1">
      <alignment/>
    </xf>
    <xf numFmtId="0" fontId="14" fillId="50" borderId="0" xfId="0" applyNumberFormat="1" applyFont="1" applyFill="1" applyBorder="1" applyAlignment="1">
      <alignment horizontal="center" wrapText="1"/>
    </xf>
    <xf numFmtId="0" fontId="0" fillId="50" borderId="0" xfId="0" applyNumberFormat="1" applyFont="1" applyFill="1" applyAlignment="1">
      <alignment/>
    </xf>
    <xf numFmtId="0" fontId="4" fillId="50" borderId="0" xfId="0" applyNumberFormat="1" applyFont="1" applyFill="1" applyAlignment="1">
      <alignment wrapText="1"/>
    </xf>
    <xf numFmtId="49" fontId="5" fillId="50" borderId="20" xfId="0" applyNumberFormat="1" applyFont="1" applyFill="1" applyBorder="1" applyAlignment="1" applyProtection="1">
      <alignment vertical="center"/>
      <protection/>
    </xf>
    <xf numFmtId="43" fontId="0" fillId="0" borderId="0" xfId="0" applyNumberFormat="1" applyAlignment="1">
      <alignment/>
    </xf>
    <xf numFmtId="3" fontId="163" fillId="0" borderId="0" xfId="0" applyNumberFormat="1" applyFont="1" applyFill="1" applyAlignment="1">
      <alignment wrapText="1"/>
    </xf>
    <xf numFmtId="0" fontId="163" fillId="0" borderId="0" xfId="0" applyNumberFormat="1" applyFont="1" applyFill="1" applyAlignment="1">
      <alignment/>
    </xf>
    <xf numFmtId="3" fontId="163" fillId="0" borderId="0" xfId="0" applyNumberFormat="1" applyFont="1" applyFill="1" applyAlignment="1">
      <alignment/>
    </xf>
    <xf numFmtId="0" fontId="164" fillId="0" borderId="0" xfId="0" applyNumberFormat="1" applyFont="1" applyFill="1" applyAlignment="1">
      <alignment horizontal="center"/>
    </xf>
    <xf numFmtId="0" fontId="100" fillId="0" borderId="0" xfId="0" applyNumberFormat="1" applyFont="1" applyFill="1" applyAlignment="1">
      <alignment/>
    </xf>
    <xf numFmtId="0" fontId="165" fillId="0" borderId="0" xfId="0" applyNumberFormat="1" applyFont="1" applyFill="1" applyAlignment="1">
      <alignment horizontal="center"/>
    </xf>
    <xf numFmtId="3" fontId="160" fillId="0" borderId="0" xfId="0" applyNumberFormat="1" applyFont="1" applyFill="1" applyAlignment="1">
      <alignment/>
    </xf>
    <xf numFmtId="3" fontId="28" fillId="0" borderId="0" xfId="0" applyNumberFormat="1" applyFont="1" applyFill="1" applyBorder="1" applyAlignment="1">
      <alignment horizontal="center" wrapText="1"/>
    </xf>
    <xf numFmtId="3" fontId="0" fillId="0" borderId="20" xfId="0" applyNumberFormat="1" applyFont="1" applyFill="1" applyBorder="1" applyAlignment="1">
      <alignment/>
    </xf>
    <xf numFmtId="3" fontId="0" fillId="0" borderId="0" xfId="0" applyNumberFormat="1" applyFont="1" applyFill="1" applyAlignment="1">
      <alignment/>
    </xf>
    <xf numFmtId="0" fontId="7" fillId="0" borderId="0" xfId="0" applyNumberFormat="1" applyFont="1" applyFill="1" applyBorder="1" applyAlignment="1">
      <alignment horizontal="left" wrapText="1"/>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0" fontId="3" fillId="50" borderId="0" xfId="0" applyNumberFormat="1" applyFont="1" applyFill="1" applyAlignment="1">
      <alignment horizontal="center"/>
    </xf>
    <xf numFmtId="0" fontId="23" fillId="50" borderId="0" xfId="0" applyNumberFormat="1" applyFont="1" applyFill="1" applyBorder="1" applyAlignment="1">
      <alignment horizontal="center" vertical="center"/>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0" fontId="0" fillId="50" borderId="0" xfId="0" applyNumberFormat="1" applyFont="1" applyFill="1" applyBorder="1" applyAlignment="1">
      <alignment wrapText="1"/>
    </xf>
    <xf numFmtId="0" fontId="0" fillId="50" borderId="0" xfId="0" applyNumberFormat="1" applyFont="1" applyFill="1" applyBorder="1" applyAlignment="1">
      <alignment/>
    </xf>
    <xf numFmtId="3" fontId="18" fillId="50" borderId="0" xfId="0" applyNumberFormat="1" applyFont="1" applyFill="1" applyBorder="1" applyAlignment="1">
      <alignment horizontal="center" vertical="center"/>
    </xf>
    <xf numFmtId="49" fontId="0" fillId="50" borderId="0" xfId="0" applyNumberFormat="1" applyFont="1" applyFill="1" applyBorder="1" applyAlignment="1">
      <alignment wrapText="1"/>
    </xf>
    <xf numFmtId="49" fontId="0" fillId="50" borderId="0" xfId="0" applyNumberFormat="1" applyFont="1" applyFill="1" applyBorder="1" applyAlignment="1">
      <alignment/>
    </xf>
    <xf numFmtId="49" fontId="105" fillId="0" borderId="20"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lignment horizontal="center" vertical="center" wrapText="1"/>
    </xf>
    <xf numFmtId="49" fontId="107" fillId="0" borderId="20" xfId="0" applyNumberFormat="1" applyFont="1" applyFill="1" applyBorder="1" applyAlignment="1" applyProtection="1">
      <alignment horizontal="center" vertical="center"/>
      <protection/>
    </xf>
    <xf numFmtId="49" fontId="107" fillId="0" borderId="26" xfId="0" applyNumberFormat="1" applyFont="1" applyFill="1" applyBorder="1" applyAlignment="1" applyProtection="1">
      <alignment horizontal="center" vertical="center"/>
      <protection/>
    </xf>
    <xf numFmtId="194" fontId="103" fillId="50" borderId="20" xfId="0" applyNumberFormat="1" applyFont="1" applyFill="1" applyBorder="1" applyAlignment="1" applyProtection="1">
      <alignment horizontal="right" vertical="center"/>
      <protection/>
    </xf>
    <xf numFmtId="194" fontId="166" fillId="50" borderId="20" xfId="0" applyNumberFormat="1" applyFont="1" applyFill="1" applyBorder="1" applyAlignment="1">
      <alignment horizontal="right"/>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00" fillId="0" borderId="0" xfId="0" applyNumberFormat="1" applyFont="1" applyFill="1" applyBorder="1" applyAlignment="1" applyProtection="1">
      <alignment horizontal="center" vertical="center" wrapText="1"/>
      <protection/>
    </xf>
    <xf numFmtId="49" fontId="109" fillId="0" borderId="21" xfId="0" applyNumberFormat="1" applyFont="1" applyFill="1" applyBorder="1" applyAlignment="1" applyProtection="1">
      <alignment horizontal="center" vertical="center"/>
      <protection/>
    </xf>
    <xf numFmtId="194" fontId="163" fillId="50" borderId="20" xfId="0" applyNumberFormat="1" applyFont="1" applyFill="1" applyBorder="1" applyAlignment="1" applyProtection="1">
      <alignment horizontal="right" vertical="center"/>
      <protection/>
    </xf>
    <xf numFmtId="10" fontId="100" fillId="0" borderId="20" xfId="236" applyNumberFormat="1" applyFont="1" applyFill="1" applyBorder="1" applyAlignment="1">
      <alignment/>
    </xf>
    <xf numFmtId="3" fontId="100" fillId="0" borderId="20" xfId="208" applyNumberFormat="1" applyFont="1" applyFill="1" applyBorder="1">
      <alignment/>
      <protection/>
    </xf>
    <xf numFmtId="194" fontId="163" fillId="50" borderId="20" xfId="0" applyNumberFormat="1" applyFont="1" applyFill="1" applyBorder="1" applyAlignment="1">
      <alignment horizontal="right" vertical="center"/>
    </xf>
    <xf numFmtId="49" fontId="18" fillId="50" borderId="0" xfId="0" applyNumberFormat="1" applyFont="1" applyFill="1" applyBorder="1" applyAlignment="1">
      <alignment/>
    </xf>
    <xf numFmtId="210" fontId="105" fillId="50" borderId="20" xfId="0" applyNumberFormat="1" applyFont="1" applyFill="1" applyBorder="1" applyAlignment="1">
      <alignment horizontal="center" vertical="center"/>
    </xf>
    <xf numFmtId="194" fontId="105" fillId="50" borderId="20" xfId="0" applyNumberFormat="1" applyFont="1" applyFill="1" applyBorder="1" applyAlignment="1" applyProtection="1">
      <alignment horizontal="center" vertical="center"/>
      <protection/>
    </xf>
    <xf numFmtId="194" fontId="23" fillId="50" borderId="0" xfId="0" applyNumberFormat="1" applyFont="1" applyFill="1" applyBorder="1" applyAlignment="1">
      <alignment horizontal="center" vertical="center"/>
    </xf>
    <xf numFmtId="49" fontId="167" fillId="50" borderId="20" xfId="0" applyNumberFormat="1" applyFont="1" applyFill="1" applyBorder="1" applyAlignment="1" applyProtection="1">
      <alignment horizontal="center" vertical="center"/>
      <protection/>
    </xf>
    <xf numFmtId="37" fontId="105" fillId="0" borderId="20" xfId="0" applyNumberFormat="1" applyFont="1" applyBorder="1" applyAlignment="1">
      <alignment horizontal="center" vertical="center"/>
    </xf>
    <xf numFmtId="49" fontId="105" fillId="50" borderId="20" xfId="0" applyNumberFormat="1" applyFont="1" applyFill="1" applyBorder="1" applyAlignment="1" applyProtection="1">
      <alignment horizontal="center" vertical="center"/>
      <protection/>
    </xf>
    <xf numFmtId="49" fontId="105" fillId="50" borderId="20" xfId="0" applyNumberFormat="1" applyFont="1" applyFill="1" applyBorder="1" applyAlignment="1" applyProtection="1">
      <alignment vertical="center"/>
      <protection/>
    </xf>
    <xf numFmtId="49" fontId="105" fillId="47" borderId="20" xfId="0" applyNumberFormat="1" applyFont="1" applyFill="1" applyBorder="1" applyAlignment="1">
      <alignment/>
    </xf>
    <xf numFmtId="49" fontId="168" fillId="50" borderId="20" xfId="0" applyNumberFormat="1" applyFont="1" applyFill="1" applyBorder="1" applyAlignment="1" applyProtection="1">
      <alignment horizontal="center" vertical="center"/>
      <protection/>
    </xf>
    <xf numFmtId="49" fontId="168" fillId="47" borderId="20" xfId="0" applyNumberFormat="1" applyFont="1" applyFill="1" applyBorder="1" applyAlignment="1" applyProtection="1">
      <alignment horizontal="center" vertical="center"/>
      <protection/>
    </xf>
    <xf numFmtId="49" fontId="168" fillId="50" borderId="20" xfId="0" applyNumberFormat="1" applyFont="1" applyFill="1" applyBorder="1" applyAlignment="1" applyProtection="1">
      <alignment vertical="center"/>
      <protection/>
    </xf>
    <xf numFmtId="49" fontId="105" fillId="47" borderId="0" xfId="0" applyNumberFormat="1" applyFont="1" applyFill="1" applyAlignment="1">
      <alignment/>
    </xf>
    <xf numFmtId="3" fontId="5" fillId="47" borderId="20" xfId="0" applyNumberFormat="1" applyFont="1" applyFill="1" applyBorder="1" applyAlignment="1">
      <alignment horizontal="center"/>
    </xf>
    <xf numFmtId="194" fontId="28" fillId="0" borderId="0" xfId="0" applyNumberFormat="1" applyFont="1" applyFill="1" applyBorder="1" applyAlignment="1">
      <alignment horizontal="center" wrapText="1"/>
    </xf>
    <xf numFmtId="3" fontId="165" fillId="0" borderId="0" xfId="0" applyNumberFormat="1" applyFont="1" applyFill="1" applyAlignment="1">
      <alignment/>
    </xf>
    <xf numFmtId="3" fontId="103" fillId="0" borderId="0" xfId="0" applyNumberFormat="1" applyFont="1" applyFill="1" applyBorder="1" applyAlignment="1">
      <alignment horizontal="center" wrapText="1"/>
    </xf>
    <xf numFmtId="3" fontId="8" fillId="0" borderId="0" xfId="0" applyNumberFormat="1" applyFont="1" applyFill="1" applyAlignment="1">
      <alignment/>
    </xf>
    <xf numFmtId="194" fontId="161" fillId="50" borderId="20" xfId="0" applyNumberFormat="1" applyFont="1" applyFill="1" applyBorder="1" applyAlignment="1" applyProtection="1">
      <alignment horizontal="right" vertical="center"/>
      <protection/>
    </xf>
    <xf numFmtId="194" fontId="161" fillId="50" borderId="20" xfId="0" applyNumberFormat="1" applyFont="1" applyFill="1" applyBorder="1" applyAlignment="1">
      <alignment horizontal="right" vertical="center"/>
    </xf>
    <xf numFmtId="210" fontId="8" fillId="50" borderId="20" xfId="0" applyNumberFormat="1" applyFont="1" applyFill="1" applyBorder="1" applyAlignment="1">
      <alignment horizontal="right" vertical="center"/>
    </xf>
    <xf numFmtId="194" fontId="8" fillId="0" borderId="0" xfId="0" applyNumberFormat="1" applyFont="1" applyFill="1" applyBorder="1" applyAlignment="1">
      <alignment horizontal="center" wrapText="1"/>
    </xf>
    <xf numFmtId="3" fontId="103" fillId="0" borderId="0" xfId="0" applyNumberFormat="1" applyFont="1" applyFill="1" applyAlignment="1">
      <alignment/>
    </xf>
    <xf numFmtId="49" fontId="8" fillId="50" borderId="20" xfId="0" applyNumberFormat="1" applyFont="1" applyFill="1" applyBorder="1" applyAlignment="1" applyProtection="1">
      <alignment horizontal="center" vertical="center"/>
      <protection/>
    </xf>
    <xf numFmtId="3" fontId="4" fillId="0" borderId="0" xfId="0" applyNumberFormat="1" applyFont="1" applyFill="1" applyAlignment="1">
      <alignment/>
    </xf>
    <xf numFmtId="10" fontId="8" fillId="0" borderId="20" xfId="236" applyNumberFormat="1" applyFont="1" applyFill="1" applyBorder="1" applyAlignment="1">
      <alignment/>
    </xf>
    <xf numFmtId="49" fontId="164" fillId="50" borderId="0" xfId="0" applyNumberFormat="1" applyFont="1" applyFill="1" applyAlignment="1">
      <alignment/>
    </xf>
    <xf numFmtId="194" fontId="169" fillId="0" borderId="0" xfId="0" applyNumberFormat="1" applyFont="1" applyFill="1" applyAlignment="1">
      <alignment horizontal="center"/>
    </xf>
    <xf numFmtId="3" fontId="169" fillId="0" borderId="0" xfId="0" applyNumberFormat="1" applyFont="1" applyFill="1" applyAlignment="1">
      <alignment horizontal="center"/>
    </xf>
    <xf numFmtId="3"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xf>
    <xf numFmtId="3" fontId="4" fillId="0" borderId="20" xfId="0" applyNumberFormat="1" applyFont="1" applyFill="1" applyBorder="1" applyAlignment="1">
      <alignment horizontal="center" wrapText="1"/>
    </xf>
    <xf numFmtId="3" fontId="169" fillId="0" borderId="20" xfId="0" applyNumberFormat="1" applyFont="1" applyFill="1" applyBorder="1" applyAlignment="1">
      <alignment horizontal="center" wrapText="1"/>
    </xf>
    <xf numFmtId="3" fontId="161" fillId="0" borderId="20" xfId="0" applyNumberFormat="1" applyFont="1" applyFill="1" applyBorder="1" applyAlignment="1">
      <alignment/>
    </xf>
    <xf numFmtId="3" fontId="8" fillId="0" borderId="20" xfId="0" applyNumberFormat="1" applyFont="1" applyFill="1" applyBorder="1" applyAlignment="1">
      <alignment/>
    </xf>
    <xf numFmtId="210" fontId="160" fillId="47" borderId="20" xfId="0" applyNumberFormat="1" applyFont="1" applyFill="1" applyBorder="1" applyAlignment="1">
      <alignment vertical="center"/>
    </xf>
    <xf numFmtId="3" fontId="4" fillId="0" borderId="20" xfId="0" applyNumberFormat="1" applyFont="1" applyFill="1" applyBorder="1" applyAlignment="1">
      <alignment/>
    </xf>
    <xf numFmtId="49" fontId="18" fillId="0" borderId="0" xfId="0" applyNumberFormat="1" applyFont="1" applyFill="1" applyBorder="1" applyAlignment="1">
      <alignment horizontal="center"/>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25" fillId="0" borderId="0" xfId="0" applyNumberFormat="1" applyFont="1" applyFill="1" applyBorder="1" applyAlignment="1">
      <alignment horizontal="center"/>
    </xf>
    <xf numFmtId="0" fontId="165" fillId="0" borderId="0" xfId="0" applyNumberFormat="1" applyFont="1" applyFill="1" applyAlignment="1">
      <alignment horizontal="center"/>
    </xf>
    <xf numFmtId="194" fontId="166" fillId="50" borderId="20" xfId="0" applyNumberFormat="1" applyFont="1" applyFill="1" applyBorder="1" applyAlignment="1" applyProtection="1">
      <alignment horizontal="right" vertical="center"/>
      <protection/>
    </xf>
    <xf numFmtId="194" fontId="8" fillId="50" borderId="20" xfId="0" applyNumberFormat="1" applyFont="1" applyFill="1" applyBorder="1" applyAlignment="1" applyProtection="1">
      <alignment horizontal="right" vertical="center"/>
      <protection/>
    </xf>
    <xf numFmtId="49" fontId="105" fillId="0" borderId="0" xfId="0" applyNumberFormat="1" applyFont="1" applyFill="1" applyBorder="1" applyAlignment="1" applyProtection="1">
      <alignment horizontal="center" vertical="center" wrapText="1"/>
      <protection/>
    </xf>
    <xf numFmtId="194" fontId="103" fillId="50" borderId="20" xfId="0" applyNumberFormat="1" applyFont="1" applyFill="1" applyBorder="1" applyAlignment="1" applyProtection="1">
      <alignment horizontal="center" vertical="center"/>
      <protection/>
    </xf>
    <xf numFmtId="210" fontId="103" fillId="50" borderId="20" xfId="0" applyNumberFormat="1" applyFont="1" applyFill="1" applyBorder="1" applyAlignment="1">
      <alignment horizontal="center" vertical="center"/>
    </xf>
    <xf numFmtId="194" fontId="103" fillId="0" borderId="20" xfId="0" applyNumberFormat="1" applyFont="1" applyBorder="1" applyAlignment="1">
      <alignment horizontal="center" vertical="center"/>
    </xf>
    <xf numFmtId="210" fontId="105" fillId="47" borderId="20" xfId="0" applyNumberFormat="1" applyFont="1" applyFill="1" applyBorder="1" applyAlignment="1">
      <alignment vertical="center"/>
    </xf>
    <xf numFmtId="37" fontId="105" fillId="50" borderId="20" xfId="0" applyNumberFormat="1" applyFont="1" applyFill="1" applyBorder="1" applyAlignment="1" applyProtection="1">
      <alignment horizontal="center" vertical="center"/>
      <protection/>
    </xf>
    <xf numFmtId="49" fontId="8" fillId="50" borderId="20" xfId="0" applyNumberFormat="1" applyFont="1" applyFill="1" applyBorder="1" applyAlignment="1" applyProtection="1">
      <alignment vertical="center"/>
      <protection/>
    </xf>
    <xf numFmtId="49" fontId="5" fillId="0" borderId="20" xfId="0" applyNumberFormat="1" applyFont="1" applyFill="1" applyBorder="1" applyAlignment="1">
      <alignment/>
    </xf>
    <xf numFmtId="1" fontId="5" fillId="47" borderId="20" xfId="0" applyNumberFormat="1" applyFont="1" applyFill="1" applyBorder="1" applyAlignment="1" applyProtection="1">
      <alignment horizontal="center" vertical="center"/>
      <protection/>
    </xf>
    <xf numFmtId="1" fontId="5" fillId="47" borderId="20" xfId="236" applyNumberFormat="1" applyFont="1" applyFill="1" applyBorder="1" applyAlignment="1" applyProtection="1">
      <alignment horizontal="center" vertical="center"/>
      <protection/>
    </xf>
    <xf numFmtId="1" fontId="5" fillId="47" borderId="20" xfId="0" applyNumberFormat="1" applyFont="1" applyFill="1" applyBorder="1" applyAlignment="1">
      <alignment horizontal="center" vertical="center"/>
    </xf>
    <xf numFmtId="49" fontId="170" fillId="50" borderId="26" xfId="0" applyNumberFormat="1" applyFont="1" applyFill="1" applyBorder="1" applyAlignment="1" applyProtection="1">
      <alignment vertical="center"/>
      <protection/>
    </xf>
    <xf numFmtId="194" fontId="164" fillId="50" borderId="20" xfId="0" applyNumberFormat="1" applyFont="1" applyFill="1" applyBorder="1" applyAlignment="1" applyProtection="1">
      <alignment horizontal="right" vertical="center"/>
      <protection/>
    </xf>
    <xf numFmtId="194" fontId="164" fillId="50" borderId="20" xfId="0" applyNumberFormat="1" applyFont="1" applyFill="1" applyBorder="1" applyAlignment="1">
      <alignment horizontal="right" vertical="center"/>
    </xf>
    <xf numFmtId="210" fontId="164" fillId="50" borderId="20" xfId="0" applyNumberFormat="1" applyFont="1" applyFill="1" applyBorder="1" applyAlignment="1">
      <alignment horizontal="right" vertical="center"/>
    </xf>
    <xf numFmtId="10" fontId="5" fillId="0" borderId="20" xfId="236" applyNumberFormat="1" applyFont="1" applyFill="1" applyBorder="1" applyAlignment="1">
      <alignment/>
    </xf>
    <xf numFmtId="3" fontId="5" fillId="0" borderId="20" xfId="208" applyNumberFormat="1" applyFont="1" applyFill="1" applyBorder="1">
      <alignment/>
      <protection/>
    </xf>
    <xf numFmtId="194" fontId="5" fillId="50" borderId="20" xfId="0" applyNumberFormat="1" applyFont="1" applyFill="1" applyBorder="1" applyAlignment="1" applyProtection="1">
      <alignment horizontal="right" vertical="center"/>
      <protection/>
    </xf>
    <xf numFmtId="210" fontId="5" fillId="50" borderId="20" xfId="0" applyNumberFormat="1" applyFont="1" applyFill="1" applyBorder="1" applyAlignment="1">
      <alignment horizontal="right" vertical="center"/>
    </xf>
    <xf numFmtId="10" fontId="103" fillId="0" borderId="20" xfId="236" applyNumberFormat="1" applyFont="1" applyFill="1" applyBorder="1" applyAlignment="1">
      <alignment/>
    </xf>
    <xf numFmtId="49" fontId="8" fillId="0" borderId="20" xfId="0" applyNumberFormat="1" applyFont="1" applyFill="1" applyBorder="1" applyAlignment="1" applyProtection="1">
      <alignment/>
      <protection locked="0"/>
    </xf>
    <xf numFmtId="3" fontId="5" fillId="47" borderId="20" xfId="0" applyNumberFormat="1" applyFont="1" applyFill="1" applyBorder="1" applyAlignment="1" applyProtection="1">
      <alignment horizontal="center" vertical="center"/>
      <protection/>
    </xf>
    <xf numFmtId="3" fontId="5" fillId="47" borderId="20" xfId="236" applyNumberFormat="1" applyFont="1" applyFill="1" applyBorder="1" applyAlignment="1" applyProtection="1">
      <alignment horizontal="center" vertical="center"/>
      <protection/>
    </xf>
    <xf numFmtId="3" fontId="8" fillId="0" borderId="20" xfId="218" applyNumberFormat="1" applyFont="1" applyFill="1" applyBorder="1" applyAlignment="1" applyProtection="1">
      <alignment horizontal="center" vertical="center"/>
      <protection/>
    </xf>
    <xf numFmtId="0" fontId="100" fillId="0" borderId="0" xfId="208" applyFont="1" applyFill="1" applyBorder="1" applyAlignment="1">
      <alignment horizontal="center" vertical="center" wrapText="1"/>
      <protection/>
    </xf>
    <xf numFmtId="3" fontId="5" fillId="47" borderId="20" xfId="0" applyNumberFormat="1" applyFont="1" applyFill="1" applyBorder="1" applyAlignment="1">
      <alignment horizontal="center" vertical="center"/>
    </xf>
    <xf numFmtId="3" fontId="103" fillId="47" borderId="20" xfId="0" applyNumberFormat="1" applyFont="1" applyFill="1" applyBorder="1" applyAlignment="1">
      <alignment horizontal="center" vertical="center"/>
    </xf>
    <xf numFmtId="3" fontId="103" fillId="0" borderId="20" xfId="0" applyNumberFormat="1" applyFont="1" applyFill="1" applyBorder="1" applyAlignment="1" applyProtection="1">
      <alignment/>
      <protection locked="0"/>
    </xf>
    <xf numFmtId="49" fontId="5" fillId="0" borderId="20" xfId="0" applyNumberFormat="1" applyFont="1" applyFill="1" applyBorder="1" applyAlignment="1" applyProtection="1">
      <alignment horizontal="right"/>
      <protection locked="0"/>
    </xf>
    <xf numFmtId="3" fontId="164" fillId="0" borderId="0" xfId="0" applyNumberFormat="1" applyFont="1" applyFill="1" applyAlignment="1">
      <alignment/>
    </xf>
    <xf numFmtId="49" fontId="4" fillId="0" borderId="20" xfId="0" applyNumberFormat="1" applyFont="1" applyFill="1" applyBorder="1" applyAlignment="1" applyProtection="1">
      <alignment horizontal="center" vertical="center"/>
      <protection locked="0"/>
    </xf>
    <xf numFmtId="3" fontId="103" fillId="0" borderId="20" xfId="0" applyNumberFormat="1" applyFont="1" applyFill="1" applyBorder="1" applyAlignment="1" applyProtection="1">
      <alignment horizontal="center" vertical="center"/>
      <protection locked="0"/>
    </xf>
    <xf numFmtId="216" fontId="103" fillId="0" borderId="20" xfId="0" applyNumberFormat="1" applyFont="1" applyFill="1" applyBorder="1" applyAlignment="1" applyProtection="1">
      <alignment horizontal="center" vertical="center"/>
      <protection locked="0"/>
    </xf>
    <xf numFmtId="194" fontId="5" fillId="0" borderId="20" xfId="153" applyNumberFormat="1" applyFont="1" applyBorder="1" applyAlignment="1" applyProtection="1">
      <alignment/>
      <protection locked="0"/>
    </xf>
    <xf numFmtId="194" fontId="111" fillId="47" borderId="20" xfId="153" applyNumberFormat="1" applyFont="1" applyFill="1" applyBorder="1" applyAlignment="1">
      <alignment horizontal="center"/>
    </xf>
    <xf numFmtId="49" fontId="4" fillId="0" borderId="20" xfId="0" applyNumberFormat="1" applyFont="1" applyFill="1" applyBorder="1" applyAlignment="1" applyProtection="1">
      <alignment/>
      <protection locked="0"/>
    </xf>
    <xf numFmtId="3" fontId="163" fillId="0" borderId="20" xfId="208" applyNumberFormat="1" applyFont="1" applyFill="1" applyBorder="1">
      <alignment/>
      <protection/>
    </xf>
    <xf numFmtId="43" fontId="8" fillId="0" borderId="20" xfId="153" applyFont="1" applyFill="1" applyBorder="1" applyAlignment="1" applyProtection="1">
      <alignment/>
      <protection locked="0"/>
    </xf>
    <xf numFmtId="210" fontId="164" fillId="47" borderId="20" xfId="0" applyNumberFormat="1" applyFont="1" applyFill="1" applyBorder="1" applyAlignment="1">
      <alignment horizontal="center" vertical="center"/>
    </xf>
    <xf numFmtId="210" fontId="164" fillId="47" borderId="25" xfId="0" applyNumberFormat="1" applyFont="1" applyFill="1" applyBorder="1" applyAlignment="1">
      <alignment horizontal="center" vertical="center"/>
    </xf>
    <xf numFmtId="194" fontId="161" fillId="0" borderId="20" xfId="0" applyNumberFormat="1" applyFont="1" applyFill="1" applyBorder="1" applyAlignment="1">
      <alignment/>
    </xf>
    <xf numFmtId="3" fontId="160" fillId="0" borderId="20" xfId="0" applyNumberFormat="1" applyFont="1" applyFill="1" applyBorder="1" applyAlignment="1">
      <alignment/>
    </xf>
    <xf numFmtId="49" fontId="0" fillId="0" borderId="20" xfId="0" applyNumberFormat="1" applyFont="1" applyFill="1" applyBorder="1" applyAlignment="1">
      <alignment vertical="center"/>
    </xf>
    <xf numFmtId="3" fontId="171" fillId="0" borderId="20" xfId="0" applyNumberFormat="1" applyFont="1" applyFill="1" applyBorder="1" applyAlignment="1">
      <alignment horizontal="center" wrapText="1"/>
    </xf>
    <xf numFmtId="3" fontId="172" fillId="0" borderId="20" xfId="0" applyNumberFormat="1" applyFont="1" applyFill="1" applyBorder="1" applyAlignment="1">
      <alignment/>
    </xf>
    <xf numFmtId="194" fontId="161" fillId="50" borderId="0" xfId="0" applyNumberFormat="1" applyFont="1" applyFill="1" applyAlignment="1">
      <alignment/>
    </xf>
    <xf numFmtId="0" fontId="8" fillId="0" borderId="0" xfId="0" applyFont="1" applyAlignment="1">
      <alignment/>
    </xf>
    <xf numFmtId="1" fontId="5" fillId="47" borderId="20" xfId="0" applyNumberFormat="1" applyFont="1" applyFill="1" applyBorder="1" applyAlignment="1" applyProtection="1">
      <alignment horizontal="right" vertical="center"/>
      <protection/>
    </xf>
    <xf numFmtId="0" fontId="4" fillId="0" borderId="0" xfId="0" applyNumberFormat="1" applyFont="1" applyFill="1" applyAlignment="1">
      <alignment/>
    </xf>
    <xf numFmtId="0" fontId="0" fillId="49" borderId="20" xfId="0" applyFont="1" applyFill="1" applyBorder="1" applyAlignment="1">
      <alignment/>
    </xf>
    <xf numFmtId="0" fontId="173" fillId="51" borderId="20" xfId="0" applyFont="1" applyFill="1" applyBorder="1" applyAlignment="1">
      <alignment vertical="center" wrapText="1"/>
    </xf>
    <xf numFmtId="194" fontId="29" fillId="47" borderId="20" xfId="0" applyNumberFormat="1" applyFont="1" applyFill="1" applyBorder="1" applyAlignment="1" applyProtection="1">
      <alignment horizontal="right" vertical="center"/>
      <protection/>
    </xf>
    <xf numFmtId="1" fontId="29" fillId="47" borderId="20" xfId="0" applyNumberFormat="1" applyFont="1" applyFill="1" applyBorder="1" applyAlignment="1" applyProtection="1">
      <alignment horizontal="center" vertical="center"/>
      <protection/>
    </xf>
    <xf numFmtId="210" fontId="161" fillId="50" borderId="20" xfId="0" applyNumberFormat="1" applyFont="1" applyFill="1" applyBorder="1" applyAlignment="1">
      <alignment horizontal="right" vertical="center"/>
    </xf>
    <xf numFmtId="49" fontId="161" fillId="50" borderId="20" xfId="0" applyNumberFormat="1" applyFont="1" applyFill="1" applyBorder="1" applyAlignment="1" applyProtection="1">
      <alignment horizontal="center" vertical="center"/>
      <protection/>
    </xf>
    <xf numFmtId="49" fontId="161" fillId="50" borderId="20" xfId="0" applyNumberFormat="1" applyFont="1" applyFill="1" applyBorder="1" applyAlignment="1" applyProtection="1">
      <alignment vertical="center"/>
      <protection/>
    </xf>
    <xf numFmtId="194" fontId="161" fillId="50" borderId="20" xfId="0" applyNumberFormat="1" applyFont="1" applyFill="1" applyBorder="1" applyAlignment="1">
      <alignment horizontal="right"/>
    </xf>
    <xf numFmtId="49" fontId="8" fillId="50" borderId="20" xfId="211" applyNumberFormat="1" applyFont="1" applyFill="1" applyBorder="1" applyAlignment="1" applyProtection="1">
      <alignment vertical="center"/>
      <protection/>
    </xf>
    <xf numFmtId="0" fontId="8" fillId="50" borderId="20" xfId="211" applyFont="1" applyFill="1" applyBorder="1" applyAlignment="1">
      <alignment horizontal="left" vertical="center"/>
      <protection/>
    </xf>
    <xf numFmtId="49" fontId="8" fillId="0" borderId="20" xfId="218" applyNumberFormat="1" applyFont="1" applyFill="1" applyBorder="1" applyAlignment="1" applyProtection="1">
      <alignment vertical="center"/>
      <protection locked="0"/>
    </xf>
    <xf numFmtId="49" fontId="8" fillId="0" borderId="20" xfId="218" applyNumberFormat="1" applyFont="1" applyFill="1" applyBorder="1" applyAlignment="1" applyProtection="1">
      <alignment vertical="center" wrapText="1"/>
      <protection locked="0"/>
    </xf>
    <xf numFmtId="49" fontId="105" fillId="0" borderId="25" xfId="0" applyNumberFormat="1" applyFont="1" applyFill="1" applyBorder="1" applyAlignment="1" applyProtection="1">
      <alignment horizontal="center" vertical="center" wrapText="1"/>
      <protection/>
    </xf>
    <xf numFmtId="0" fontId="100" fillId="0" borderId="25" xfId="208" applyFont="1" applyFill="1" applyBorder="1" applyAlignment="1">
      <alignment horizontal="center" vertical="center" wrapText="1"/>
      <protection/>
    </xf>
    <xf numFmtId="49" fontId="8" fillId="50" borderId="20" xfId="0" applyNumberFormat="1" applyFont="1" applyFill="1" applyBorder="1" applyAlignment="1">
      <alignment vertical="center"/>
    </xf>
    <xf numFmtId="194" fontId="104" fillId="47" borderId="20" xfId="0" applyNumberFormat="1" applyFont="1" applyFill="1" applyBorder="1" applyAlignment="1" applyProtection="1">
      <alignment horizontal="right" vertical="center"/>
      <protection/>
    </xf>
    <xf numFmtId="0" fontId="174" fillId="51" borderId="20" xfId="216" applyFont="1" applyFill="1" applyBorder="1" applyAlignment="1">
      <alignment vertical="center" wrapText="1"/>
      <protection/>
    </xf>
    <xf numFmtId="1" fontId="174" fillId="51" borderId="20" xfId="216" applyNumberFormat="1" applyFont="1" applyFill="1" applyBorder="1" applyAlignment="1">
      <alignment vertical="center" wrapText="1"/>
      <protection/>
    </xf>
    <xf numFmtId="49" fontId="175" fillId="47" borderId="26" xfId="0" applyNumberFormat="1" applyFont="1" applyFill="1" applyBorder="1" applyAlignment="1" applyProtection="1">
      <alignment vertical="center"/>
      <protection/>
    </xf>
    <xf numFmtId="194" fontId="175" fillId="47" borderId="20" xfId="0" applyNumberFormat="1" applyFont="1" applyFill="1" applyBorder="1" applyAlignment="1" applyProtection="1">
      <alignment horizontal="right" vertical="center"/>
      <protection/>
    </xf>
    <xf numFmtId="49" fontId="176" fillId="47" borderId="20" xfId="0" applyNumberFormat="1" applyFont="1" applyFill="1" applyBorder="1" applyAlignment="1" applyProtection="1">
      <alignment vertical="center"/>
      <protection/>
    </xf>
    <xf numFmtId="194" fontId="176" fillId="47" borderId="20" xfId="0" applyNumberFormat="1" applyFont="1" applyFill="1" applyBorder="1" applyAlignment="1" applyProtection="1">
      <alignment horizontal="left" vertical="center"/>
      <protection/>
    </xf>
    <xf numFmtId="194" fontId="176" fillId="47" borderId="20" xfId="0" applyNumberFormat="1" applyFont="1" applyFill="1" applyBorder="1" applyAlignment="1" applyProtection="1">
      <alignment horizontal="right" vertical="center"/>
      <protection/>
    </xf>
    <xf numFmtId="41" fontId="5" fillId="47" borderId="20" xfId="0" applyNumberFormat="1" applyFont="1" applyFill="1" applyBorder="1" applyAlignment="1" applyProtection="1">
      <alignment horizontal="center" vertical="center"/>
      <protection locked="0"/>
    </xf>
    <xf numFmtId="41" fontId="5" fillId="50" borderId="20" xfId="0" applyNumberFormat="1" applyFont="1" applyFill="1" applyBorder="1" applyAlignment="1" applyProtection="1">
      <alignment horizontal="center" vertical="center"/>
      <protection locked="0"/>
    </xf>
    <xf numFmtId="3" fontId="176" fillId="0" borderId="20" xfId="218" applyNumberFormat="1" applyFont="1" applyFill="1" applyBorder="1" applyAlignment="1" applyProtection="1">
      <alignment horizontal="center" vertical="center"/>
      <protection locked="0"/>
    </xf>
    <xf numFmtId="0" fontId="173" fillId="51" borderId="20" xfId="216" applyFont="1" applyFill="1" applyBorder="1" applyAlignment="1">
      <alignment vertical="center" wrapText="1"/>
      <protection/>
    </xf>
    <xf numFmtId="3" fontId="173" fillId="51" borderId="20" xfId="216" applyNumberFormat="1" applyFont="1" applyFill="1" applyBorder="1" applyAlignment="1">
      <alignment vertical="center" wrapText="1"/>
      <protection/>
    </xf>
    <xf numFmtId="194" fontId="8" fillId="47" borderId="20" xfId="0" applyNumberFormat="1" applyFont="1" applyFill="1" applyBorder="1" applyAlignment="1" applyProtection="1">
      <alignment horizontal="center" vertical="center"/>
      <protection/>
    </xf>
    <xf numFmtId="41" fontId="8" fillId="47" borderId="20" xfId="0" applyNumberFormat="1" applyFont="1" applyFill="1" applyBorder="1" applyAlignment="1" applyProtection="1">
      <alignment horizontal="center" vertical="center"/>
      <protection locked="0"/>
    </xf>
    <xf numFmtId="41" fontId="8" fillId="50" borderId="20" xfId="0" applyNumberFormat="1" applyFont="1" applyFill="1" applyBorder="1" applyAlignment="1" applyProtection="1">
      <alignment horizontal="center" vertical="center"/>
      <protection locked="0"/>
    </xf>
    <xf numFmtId="41" fontId="8" fillId="47" borderId="21" xfId="0" applyNumberFormat="1" applyFont="1" applyFill="1" applyBorder="1" applyAlignment="1" applyProtection="1">
      <alignment horizontal="center" vertical="center"/>
      <protection locked="0"/>
    </xf>
    <xf numFmtId="194" fontId="170" fillId="50" borderId="20" xfId="0" applyNumberFormat="1" applyFont="1" applyFill="1" applyBorder="1" applyAlignment="1" applyProtection="1">
      <alignment horizontal="right" vertical="center"/>
      <protection/>
    </xf>
    <xf numFmtId="210" fontId="170" fillId="50" borderId="20" xfId="0" applyNumberFormat="1" applyFont="1" applyFill="1" applyBorder="1" applyAlignment="1">
      <alignment horizontal="right" vertical="center"/>
    </xf>
    <xf numFmtId="10" fontId="6" fillId="0" borderId="20" xfId="236" applyNumberFormat="1" applyFont="1" applyFill="1" applyBorder="1" applyAlignment="1">
      <alignment/>
    </xf>
    <xf numFmtId="3" fontId="6" fillId="0" borderId="20" xfId="208" applyNumberFormat="1" applyFont="1" applyFill="1" applyBorder="1">
      <alignment/>
      <protection/>
    </xf>
    <xf numFmtId="49" fontId="170" fillId="50" borderId="20" xfId="0" applyNumberFormat="1" applyFont="1" applyFill="1" applyBorder="1" applyAlignment="1" applyProtection="1">
      <alignment horizontal="center" vertical="center"/>
      <protection/>
    </xf>
    <xf numFmtId="49" fontId="5" fillId="50" borderId="20" xfId="0" applyNumberFormat="1" applyFont="1" applyFill="1" applyBorder="1" applyAlignment="1" applyProtection="1">
      <alignment horizontal="center" vertical="center"/>
      <protection/>
    </xf>
    <xf numFmtId="49" fontId="5" fillId="50" borderId="26" xfId="0" applyNumberFormat="1" applyFont="1" applyFill="1" applyBorder="1" applyAlignment="1" applyProtection="1">
      <alignment vertical="center"/>
      <protection/>
    </xf>
    <xf numFmtId="210" fontId="6" fillId="50" borderId="20" xfId="0" applyNumberFormat="1" applyFont="1" applyFill="1" applyBorder="1" applyAlignment="1">
      <alignment horizontal="right" vertical="center"/>
    </xf>
    <xf numFmtId="49" fontId="5" fillId="50" borderId="26" xfId="0" applyNumberFormat="1" applyFont="1" applyFill="1" applyBorder="1" applyAlignment="1">
      <alignment/>
    </xf>
    <xf numFmtId="1" fontId="174" fillId="51" borderId="20" xfId="0" applyNumberFormat="1" applyFont="1" applyFill="1" applyBorder="1" applyAlignment="1">
      <alignment vertical="center" wrapText="1"/>
    </xf>
    <xf numFmtId="49" fontId="5" fillId="50" borderId="26" xfId="209" applyNumberFormat="1" applyFont="1" applyFill="1" applyBorder="1" applyAlignment="1" applyProtection="1">
      <alignment vertical="center"/>
      <protection/>
    </xf>
    <xf numFmtId="194" fontId="5" fillId="50" borderId="20" xfId="0" applyNumberFormat="1" applyFont="1" applyFill="1" applyBorder="1" applyAlignment="1">
      <alignment horizontal="right" vertical="center"/>
    </xf>
    <xf numFmtId="0" fontId="5" fillId="50" borderId="26" xfId="209" applyFont="1" applyFill="1" applyBorder="1" applyAlignment="1">
      <alignment vertical="center"/>
      <protection/>
    </xf>
    <xf numFmtId="49" fontId="111" fillId="47" borderId="26" xfId="0" applyNumberFormat="1" applyFont="1" applyFill="1" applyBorder="1" applyAlignment="1" applyProtection="1">
      <alignment vertical="center"/>
      <protection/>
    </xf>
    <xf numFmtId="49" fontId="5" fillId="0" borderId="20" xfId="218" applyNumberFormat="1" applyFont="1" applyFill="1" applyBorder="1" applyAlignment="1" applyProtection="1">
      <alignment vertical="center"/>
      <protection locked="0"/>
    </xf>
    <xf numFmtId="49" fontId="5" fillId="0" borderId="20" xfId="218" applyNumberFormat="1" applyFont="1" applyFill="1" applyBorder="1" applyAlignment="1" applyProtection="1">
      <alignment vertical="center" wrapText="1"/>
      <protection locked="0"/>
    </xf>
    <xf numFmtId="49" fontId="5" fillId="0" borderId="20" xfId="0" applyNumberFormat="1" applyFont="1" applyFill="1" applyBorder="1" applyAlignment="1" applyProtection="1">
      <alignment/>
      <protection locked="0"/>
    </xf>
    <xf numFmtId="49" fontId="8" fillId="0" borderId="20" xfId="0" applyNumberFormat="1" applyFont="1" applyFill="1" applyBorder="1" applyAlignment="1">
      <alignment/>
    </xf>
    <xf numFmtId="194" fontId="113" fillId="47" borderId="20" xfId="0" applyNumberFormat="1" applyFont="1" applyFill="1" applyBorder="1" applyAlignment="1" applyProtection="1">
      <alignment horizontal="right" vertical="center"/>
      <protection/>
    </xf>
    <xf numFmtId="194" fontId="113" fillId="47" borderId="20" xfId="153" applyNumberFormat="1" applyFont="1" applyFill="1" applyBorder="1" applyAlignment="1" applyProtection="1">
      <alignment horizontal="center" vertical="center"/>
      <protection/>
    </xf>
    <xf numFmtId="194" fontId="112" fillId="47" borderId="20" xfId="153" applyNumberFormat="1" applyFont="1" applyFill="1" applyBorder="1" applyAlignment="1">
      <alignment horizontal="center"/>
    </xf>
    <xf numFmtId="194" fontId="8" fillId="47" borderId="20" xfId="153" applyNumberFormat="1" applyFont="1" applyFill="1" applyBorder="1" applyAlignment="1" applyProtection="1">
      <alignment horizontal="center" vertical="center"/>
      <protection/>
    </xf>
    <xf numFmtId="194" fontId="104" fillId="47" borderId="20" xfId="153" applyNumberFormat="1" applyFont="1" applyFill="1" applyBorder="1" applyAlignment="1" applyProtection="1">
      <alignment horizontal="center" vertical="center"/>
      <protection/>
    </xf>
    <xf numFmtId="3" fontId="8" fillId="0" borderId="20" xfId="218" applyNumberFormat="1" applyFont="1" applyFill="1" applyBorder="1" applyAlignment="1" applyProtection="1">
      <alignment horizontal="center" vertical="center"/>
      <protection locked="0"/>
    </xf>
    <xf numFmtId="3" fontId="173" fillId="51" borderId="20" xfId="0" applyNumberFormat="1" applyFont="1" applyFill="1" applyBorder="1" applyAlignment="1">
      <alignment vertical="center" wrapText="1"/>
    </xf>
    <xf numFmtId="194" fontId="175" fillId="0" borderId="20" xfId="153" applyNumberFormat="1" applyFont="1" applyBorder="1" applyAlignment="1" applyProtection="1">
      <alignment/>
      <protection locked="0"/>
    </xf>
    <xf numFmtId="0" fontId="174" fillId="51" borderId="20" xfId="0" applyFont="1" applyFill="1" applyBorder="1" applyAlignment="1">
      <alignment vertical="center" wrapText="1"/>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0" xfId="0" applyNumberFormat="1" applyFont="1" applyFill="1" applyBorder="1" applyAlignment="1">
      <alignment horizontal="center" vertical="center" wrapText="1"/>
    </xf>
    <xf numFmtId="0" fontId="25" fillId="0" borderId="0" xfId="219" applyFont="1" applyAlignment="1">
      <alignment horizontal="center"/>
      <protection/>
    </xf>
    <xf numFmtId="49" fontId="25" fillId="47" borderId="0" xfId="219" applyNumberFormat="1" applyFont="1" applyFill="1" applyAlignment="1">
      <alignment horizontal="center"/>
      <protection/>
    </xf>
    <xf numFmtId="49" fontId="25" fillId="0" borderId="0" xfId="219" applyNumberFormat="1" applyFont="1" applyBorder="1" applyAlignment="1">
      <alignment horizontal="center" wrapText="1"/>
      <protection/>
    </xf>
    <xf numFmtId="49" fontId="7" fillId="0" borderId="26" xfId="219" applyNumberFormat="1" applyFont="1" applyFill="1" applyBorder="1" applyAlignment="1">
      <alignment horizontal="center" vertical="center" wrapText="1"/>
      <protection/>
    </xf>
    <xf numFmtId="49" fontId="7" fillId="0" borderId="25" xfId="219" applyNumberFormat="1" applyFont="1" applyFill="1" applyBorder="1" applyAlignment="1">
      <alignment horizontal="center" vertical="center" wrapText="1"/>
      <protection/>
    </xf>
    <xf numFmtId="49" fontId="27" fillId="0" borderId="25" xfId="219" applyNumberFormat="1" applyFont="1" applyFill="1" applyBorder="1" applyAlignment="1">
      <alignment horizontal="center" vertical="center" wrapText="1"/>
      <protection/>
    </xf>
    <xf numFmtId="0" fontId="7" fillId="0" borderId="35" xfId="219" applyNumberFormat="1" applyFont="1" applyBorder="1" applyAlignment="1">
      <alignment horizontal="center" vertical="center" wrapText="1"/>
      <protection/>
    </xf>
    <xf numFmtId="0" fontId="7" fillId="0" borderId="36" xfId="219" applyNumberFormat="1" applyFont="1" applyBorder="1" applyAlignment="1">
      <alignment horizontal="center" vertical="center" wrapText="1"/>
      <protection/>
    </xf>
    <xf numFmtId="0" fontId="7" fillId="0" borderId="24" xfId="219" applyNumberFormat="1" applyFont="1" applyBorder="1" applyAlignment="1">
      <alignment horizontal="center" vertical="center" wrapText="1"/>
      <protection/>
    </xf>
    <xf numFmtId="0" fontId="7" fillId="0" borderId="39" xfId="219" applyNumberFormat="1" applyFont="1" applyBorder="1" applyAlignment="1">
      <alignment horizontal="center" vertical="center" wrapText="1"/>
      <protection/>
    </xf>
    <xf numFmtId="49" fontId="7" fillId="44" borderId="26" xfId="219" applyNumberFormat="1" applyFont="1" applyFill="1" applyBorder="1" applyAlignment="1">
      <alignment horizontal="center" vertical="center"/>
      <protection/>
    </xf>
    <xf numFmtId="49" fontId="7" fillId="44" borderId="25" xfId="219" applyNumberFormat="1" applyFont="1" applyFill="1" applyBorder="1" applyAlignment="1">
      <alignment horizontal="center" vertical="center"/>
      <protection/>
    </xf>
    <xf numFmtId="0" fontId="55" fillId="3" borderId="26" xfId="219" applyNumberFormat="1" applyFont="1" applyFill="1" applyBorder="1" applyAlignment="1">
      <alignment horizontal="center" vertical="center" wrapText="1"/>
      <protection/>
    </xf>
    <xf numFmtId="0" fontId="55" fillId="3" borderId="25" xfId="219" applyNumberFormat="1" applyFont="1" applyFill="1" applyBorder="1" applyAlignment="1">
      <alignment horizontal="center" vertical="center" wrapText="1"/>
      <protection/>
    </xf>
    <xf numFmtId="49" fontId="3" fillId="0" borderId="0" xfId="219" applyNumberFormat="1" applyFont="1" applyBorder="1" applyAlignment="1">
      <alignment horizontal="left" wrapText="1"/>
      <protection/>
    </xf>
    <xf numFmtId="49" fontId="0" fillId="0" borderId="0" xfId="219" applyNumberFormat="1" applyFont="1" applyBorder="1" applyAlignment="1">
      <alignment horizontal="left" wrapText="1"/>
      <protection/>
    </xf>
    <xf numFmtId="49" fontId="7" fillId="0" borderId="26" xfId="219" applyNumberFormat="1" applyFont="1" applyBorder="1" applyAlignment="1">
      <alignment horizontal="center" vertical="center" wrapText="1"/>
      <protection/>
    </xf>
    <xf numFmtId="49" fontId="7" fillId="0" borderId="40" xfId="219" applyNumberFormat="1" applyFont="1" applyBorder="1" applyAlignment="1">
      <alignment horizontal="center" vertical="center" wrapText="1"/>
      <protection/>
    </xf>
    <xf numFmtId="49" fontId="7" fillId="0" borderId="25" xfId="219" applyNumberFormat="1" applyFont="1" applyBorder="1" applyAlignment="1">
      <alignment horizontal="center" vertical="center" wrapText="1"/>
      <protection/>
    </xf>
    <xf numFmtId="49" fontId="18" fillId="0" borderId="22" xfId="219" applyNumberFormat="1" applyFont="1" applyFill="1" applyBorder="1" applyAlignment="1">
      <alignment horizontal="center" vertical="center"/>
      <protection/>
    </xf>
    <xf numFmtId="49" fontId="7" fillId="0" borderId="20" xfId="219" applyNumberFormat="1" applyFont="1" applyFill="1" applyBorder="1" applyAlignment="1">
      <alignment horizontal="center" vertical="center" wrapText="1"/>
      <protection/>
    </xf>
    <xf numFmtId="49" fontId="18" fillId="0" borderId="0" xfId="219" applyNumberFormat="1" applyFont="1" applyAlignment="1">
      <alignment horizontal="left"/>
      <protection/>
    </xf>
    <xf numFmtId="49" fontId="14" fillId="47" borderId="0" xfId="219" applyNumberFormat="1" applyFont="1" applyFill="1" applyAlignment="1">
      <alignment horizontal="center" vertical="center" wrapText="1"/>
      <protection/>
    </xf>
    <xf numFmtId="49" fontId="3" fillId="0" borderId="0" xfId="219" applyNumberFormat="1" applyFont="1" applyAlignment="1">
      <alignment horizontal="left"/>
      <protection/>
    </xf>
    <xf numFmtId="49" fontId="0" fillId="0" borderId="0" xfId="219" applyNumberFormat="1" applyFont="1" applyAlignment="1">
      <alignment horizontal="left"/>
      <protection/>
    </xf>
    <xf numFmtId="49" fontId="32" fillId="0" borderId="0" xfId="219" applyNumberFormat="1" applyFont="1" applyAlignment="1">
      <alignment horizontal="center"/>
      <protection/>
    </xf>
    <xf numFmtId="49" fontId="28" fillId="0" borderId="0" xfId="219" applyNumberFormat="1" applyFont="1" applyAlignment="1">
      <alignment horizontal="center" wrapText="1"/>
      <protection/>
    </xf>
    <xf numFmtId="49" fontId="25" fillId="0" borderId="0" xfId="219" applyNumberFormat="1" applyFont="1" applyAlignment="1">
      <alignment horizontal="center"/>
      <protection/>
    </xf>
    <xf numFmtId="0" fontId="16" fillId="0" borderId="20" xfId="219" applyNumberFormat="1" applyFont="1" applyBorder="1" applyAlignment="1">
      <alignment horizontal="center" vertical="center" wrapText="1"/>
      <protection/>
    </xf>
    <xf numFmtId="49" fontId="30" fillId="0" borderId="0" xfId="219" applyNumberFormat="1" applyFont="1" applyBorder="1" applyAlignment="1">
      <alignment horizontal="center" wrapText="1"/>
      <protection/>
    </xf>
    <xf numFmtId="0" fontId="54" fillId="3" borderId="26" xfId="219" applyNumberFormat="1" applyFont="1" applyFill="1" applyBorder="1" applyAlignment="1">
      <alignment horizontal="center" vertical="center" wrapText="1"/>
      <protection/>
    </xf>
    <xf numFmtId="0" fontId="54" fillId="3" borderId="25" xfId="219" applyNumberFormat="1" applyFont="1" applyFill="1" applyBorder="1" applyAlignment="1">
      <alignment horizontal="center" vertical="center" wrapText="1"/>
      <protection/>
    </xf>
    <xf numFmtId="49" fontId="0" fillId="3" borderId="35" xfId="219" applyNumberFormat="1" applyFont="1" applyFill="1" applyBorder="1" applyAlignment="1">
      <alignment horizontal="center"/>
      <protection/>
    </xf>
    <xf numFmtId="49" fontId="0" fillId="3" borderId="19" xfId="219" applyNumberFormat="1" applyFont="1" applyFill="1" applyBorder="1" applyAlignment="1">
      <alignment horizontal="center"/>
      <protection/>
    </xf>
    <xf numFmtId="49" fontId="0" fillId="3" borderId="36" xfId="219" applyNumberFormat="1" applyFont="1" applyFill="1" applyBorder="1" applyAlignment="1">
      <alignment horizontal="center"/>
      <protection/>
    </xf>
    <xf numFmtId="3" fontId="33" fillId="47" borderId="38" xfId="219" applyNumberFormat="1" applyFont="1" applyFill="1" applyBorder="1" applyAlignment="1" applyProtection="1">
      <alignment horizontal="center" vertical="center" wrapText="1"/>
      <protection/>
    </xf>
    <xf numFmtId="3" fontId="33" fillId="47" borderId="23" xfId="219" applyNumberFormat="1" applyFont="1" applyFill="1" applyBorder="1" applyAlignment="1" applyProtection="1">
      <alignment horizontal="center" vertical="center" wrapText="1"/>
      <protection/>
    </xf>
    <xf numFmtId="49" fontId="7" fillId="0" borderId="20" xfId="219" applyNumberFormat="1" applyFont="1" applyFill="1" applyBorder="1" applyAlignment="1" applyProtection="1">
      <alignment horizontal="center" vertical="center" wrapText="1"/>
      <protection/>
    </xf>
    <xf numFmtId="3" fontId="7" fillId="47" borderId="21" xfId="219" applyNumberFormat="1" applyFont="1" applyFill="1" applyBorder="1" applyAlignment="1" applyProtection="1">
      <alignment horizontal="center" vertical="center" wrapText="1"/>
      <protection/>
    </xf>
    <xf numFmtId="3" fontId="7" fillId="47" borderId="23" xfId="219" applyNumberFormat="1" applyFont="1" applyFill="1" applyBorder="1" applyAlignment="1" applyProtection="1">
      <alignment horizontal="center" vertical="center" wrapText="1"/>
      <protection/>
    </xf>
    <xf numFmtId="49" fontId="64" fillId="0" borderId="0" xfId="219" applyNumberFormat="1" applyFont="1" applyBorder="1" applyAlignment="1">
      <alignment horizontal="center" wrapText="1"/>
      <protection/>
    </xf>
    <xf numFmtId="49" fontId="39" fillId="0" borderId="0" xfId="219" applyNumberFormat="1" applyFont="1" applyBorder="1" applyAlignment="1">
      <alignment horizontal="center" wrapText="1"/>
      <protection/>
    </xf>
    <xf numFmtId="49" fontId="15" fillId="0" borderId="0" xfId="219" applyNumberFormat="1" applyFont="1" applyFill="1" applyBorder="1" applyAlignment="1">
      <alignment horizontal="center" vertical="center" wrapText="1"/>
      <protection/>
    </xf>
    <xf numFmtId="49" fontId="13" fillId="0" borderId="0" xfId="219" applyNumberFormat="1" applyFont="1" applyFill="1" applyAlignment="1">
      <alignment horizontal="left" wrapText="1"/>
      <protection/>
    </xf>
    <xf numFmtId="49" fontId="13" fillId="0" borderId="0" xfId="219" applyNumberFormat="1" applyFont="1" applyFill="1" applyAlignment="1">
      <alignment horizontal="center" wrapText="1"/>
      <protection/>
    </xf>
    <xf numFmtId="0" fontId="3" fillId="0" borderId="0" xfId="219" applyFont="1" applyAlignment="1">
      <alignment horizontal="center"/>
      <protection/>
    </xf>
    <xf numFmtId="49" fontId="3" fillId="47" borderId="0" xfId="219" applyNumberFormat="1" applyFont="1" applyFill="1" applyAlignment="1">
      <alignment horizontal="center"/>
      <protection/>
    </xf>
    <xf numFmtId="49" fontId="23" fillId="0" borderId="0" xfId="219" applyNumberFormat="1" applyFont="1" applyFill="1" applyBorder="1" applyAlignment="1">
      <alignment horizontal="center" wrapText="1"/>
      <protection/>
    </xf>
    <xf numFmtId="49" fontId="15" fillId="0" borderId="0" xfId="219" applyNumberFormat="1" applyFont="1" applyFill="1" applyBorder="1" applyAlignment="1">
      <alignment horizontal="center" wrapText="1"/>
      <protection/>
    </xf>
    <xf numFmtId="49" fontId="70" fillId="0" borderId="0" xfId="219" applyNumberFormat="1" applyFont="1" applyFill="1" applyAlignment="1">
      <alignment horizontal="center"/>
      <protection/>
    </xf>
    <xf numFmtId="49" fontId="18" fillId="0" borderId="0" xfId="219" applyNumberFormat="1" applyFont="1" applyFill="1" applyAlignment="1">
      <alignment horizontal="center"/>
      <protection/>
    </xf>
    <xf numFmtId="49" fontId="0" fillId="0" borderId="0" xfId="219" applyNumberFormat="1" applyFont="1" applyFill="1" applyBorder="1" applyAlignment="1">
      <alignment horizontal="left"/>
      <protection/>
    </xf>
    <xf numFmtId="49" fontId="3" fillId="0" borderId="0" xfId="219" applyNumberFormat="1" applyFont="1" applyFill="1" applyBorder="1" applyAlignment="1">
      <alignment horizontal="left"/>
      <protection/>
    </xf>
    <xf numFmtId="49" fontId="3" fillId="0" borderId="0" xfId="219" applyNumberFormat="1" applyFont="1" applyFill="1" applyBorder="1" applyAlignment="1">
      <alignment horizontal="left" wrapText="1"/>
      <protection/>
    </xf>
    <xf numFmtId="49" fontId="0" fillId="0" borderId="0" xfId="219" applyNumberFormat="1" applyFont="1" applyFill="1" applyBorder="1" applyAlignment="1">
      <alignment horizontal="left" wrapText="1"/>
      <protection/>
    </xf>
    <xf numFmtId="49" fontId="6" fillId="0" borderId="20" xfId="219" applyNumberFormat="1" applyFont="1" applyFill="1" applyBorder="1" applyAlignment="1">
      <alignment horizontal="center" vertical="center" wrapText="1"/>
      <protection/>
    </xf>
    <xf numFmtId="49" fontId="6" fillId="0" borderId="22" xfId="219" applyNumberFormat="1" applyFont="1" applyFill="1" applyBorder="1" applyAlignment="1">
      <alignment horizontal="center" vertical="center" wrapText="1"/>
      <protection/>
    </xf>
    <xf numFmtId="49" fontId="6" fillId="0" borderId="40" xfId="219" applyNumberFormat="1" applyFont="1" applyFill="1" applyBorder="1" applyAlignment="1">
      <alignment horizontal="center" vertical="center" wrapText="1"/>
      <protection/>
    </xf>
    <xf numFmtId="49" fontId="6" fillId="0" borderId="25" xfId="219" applyNumberFormat="1" applyFont="1" applyFill="1" applyBorder="1" applyAlignment="1">
      <alignment horizontal="center" vertical="center" wrapText="1"/>
      <protection/>
    </xf>
    <xf numFmtId="49" fontId="3" fillId="0" borderId="20" xfId="219" applyNumberFormat="1" applyFont="1" applyFill="1" applyBorder="1" applyAlignment="1">
      <alignment horizontal="center"/>
      <protection/>
    </xf>
    <xf numFmtId="49" fontId="66" fillId="3" borderId="26" xfId="219" applyNumberFormat="1" applyFont="1" applyFill="1" applyBorder="1" applyAlignment="1">
      <alignment horizontal="center" vertical="center" wrapText="1"/>
      <protection/>
    </xf>
    <xf numFmtId="49" fontId="66" fillId="3" borderId="25" xfId="219" applyNumberFormat="1" applyFont="1" applyFill="1" applyBorder="1" applyAlignment="1">
      <alignment horizontal="center" vertical="center" wrapText="1"/>
      <protection/>
    </xf>
    <xf numFmtId="49" fontId="67" fillId="3" borderId="26" xfId="219" applyNumberFormat="1" applyFont="1" applyFill="1" applyBorder="1" applyAlignment="1">
      <alignment horizontal="center" vertical="center" wrapText="1"/>
      <protection/>
    </xf>
    <xf numFmtId="49" fontId="67" fillId="3" borderId="25" xfId="219" applyNumberFormat="1" applyFont="1" applyFill="1" applyBorder="1" applyAlignment="1">
      <alignment horizontal="center" vertical="center" wrapText="1"/>
      <protection/>
    </xf>
    <xf numFmtId="49" fontId="7" fillId="44" borderId="26" xfId="219" applyNumberFormat="1" applyFont="1" applyFill="1" applyBorder="1" applyAlignment="1">
      <alignment horizontal="center"/>
      <protection/>
    </xf>
    <xf numFmtId="49" fontId="7" fillId="44" borderId="25" xfId="219" applyNumberFormat="1" applyFont="1" applyFill="1" applyBorder="1" applyAlignment="1">
      <alignment horizontal="center"/>
      <protection/>
    </xf>
    <xf numFmtId="49" fontId="21" fillId="0" borderId="26" xfId="219" applyNumberFormat="1" applyFont="1" applyFill="1" applyBorder="1" applyAlignment="1">
      <alignment horizontal="center" vertical="center" wrapText="1"/>
      <protection/>
    </xf>
    <xf numFmtId="49" fontId="21" fillId="0" borderId="25" xfId="219" applyNumberFormat="1" applyFont="1" applyFill="1" applyBorder="1" applyAlignment="1">
      <alignment horizontal="center" vertical="center" wrapText="1"/>
      <protection/>
    </xf>
    <xf numFmtId="0" fontId="6" fillId="0" borderId="35" xfId="219" applyNumberFormat="1" applyFont="1" applyFill="1" applyBorder="1" applyAlignment="1">
      <alignment horizontal="center" vertical="center" wrapText="1"/>
      <protection/>
    </xf>
    <xf numFmtId="0" fontId="6" fillId="0" borderId="36" xfId="219" applyNumberFormat="1" applyFont="1" applyFill="1" applyBorder="1" applyAlignment="1">
      <alignment horizontal="center" vertical="center" wrapText="1"/>
      <protection/>
    </xf>
    <xf numFmtId="0" fontId="6" fillId="0" borderId="24" xfId="219" applyNumberFormat="1" applyFont="1" applyFill="1" applyBorder="1" applyAlignment="1">
      <alignment horizontal="center" vertical="center" wrapText="1"/>
      <protection/>
    </xf>
    <xf numFmtId="0" fontId="6" fillId="0" borderId="39" xfId="219" applyNumberFormat="1" applyFont="1" applyFill="1" applyBorder="1" applyAlignment="1">
      <alignment horizontal="center" vertical="center" wrapText="1"/>
      <protection/>
    </xf>
    <xf numFmtId="0" fontId="6" fillId="0" borderId="27" xfId="219" applyNumberFormat="1" applyFont="1" applyFill="1" applyBorder="1" applyAlignment="1">
      <alignment horizontal="center" vertical="center" wrapText="1"/>
      <protection/>
    </xf>
    <xf numFmtId="0" fontId="6" fillId="0" borderId="37" xfId="219" applyNumberFormat="1" applyFont="1" applyFill="1" applyBorder="1" applyAlignment="1">
      <alignment horizontal="center" vertical="center" wrapText="1"/>
      <protection/>
    </xf>
    <xf numFmtId="49" fontId="6" fillId="0" borderId="26" xfId="219" applyNumberFormat="1" applyFont="1" applyFill="1" applyBorder="1" applyAlignment="1">
      <alignment horizontal="center" vertical="center" wrapText="1"/>
      <protection/>
    </xf>
    <xf numFmtId="49" fontId="6" fillId="0" borderId="38" xfId="219" applyNumberFormat="1" applyFont="1" applyFill="1" applyBorder="1" applyAlignment="1">
      <alignment horizontal="center" vertical="center" wrapText="1"/>
      <protection/>
    </xf>
    <xf numFmtId="49" fontId="6" fillId="0" borderId="23" xfId="219" applyNumberFormat="1" applyFont="1" applyFill="1" applyBorder="1" applyAlignment="1">
      <alignment horizontal="center" vertical="center" wrapText="1"/>
      <protection/>
    </xf>
    <xf numFmtId="49" fontId="3" fillId="0" borderId="0" xfId="219" applyNumberFormat="1" applyFont="1" applyFill="1" applyAlignment="1">
      <alignment horizontal="left"/>
      <protection/>
    </xf>
    <xf numFmtId="49" fontId="18" fillId="0" borderId="0" xfId="219" applyNumberFormat="1" applyFont="1" applyFill="1" applyBorder="1" applyAlignment="1">
      <alignment horizontal="left"/>
      <protection/>
    </xf>
    <xf numFmtId="49" fontId="0" fillId="0" borderId="0" xfId="219" applyNumberFormat="1" applyFont="1" applyFill="1" applyAlignment="1">
      <alignment horizontal="justify" wrapText="1"/>
      <protection/>
    </xf>
    <xf numFmtId="49" fontId="3" fillId="0" borderId="0" xfId="219" applyNumberFormat="1" applyFont="1" applyFill="1" applyAlignment="1">
      <alignment horizontal="center" vertical="top" wrapText="1"/>
      <protection/>
    </xf>
    <xf numFmtId="49" fontId="30" fillId="0" borderId="0" xfId="219" applyNumberFormat="1" applyFont="1" applyBorder="1" applyAlignment="1">
      <alignment horizontal="center"/>
      <protection/>
    </xf>
    <xf numFmtId="49" fontId="25" fillId="0" borderId="0" xfId="219" applyNumberFormat="1" applyFont="1" applyBorder="1" applyAlignment="1">
      <alignment horizontal="center"/>
      <protection/>
    </xf>
    <xf numFmtId="49" fontId="7" fillId="0" borderId="35" xfId="219" applyNumberFormat="1" applyFont="1" applyFill="1" applyBorder="1" applyAlignment="1">
      <alignment horizontal="center" vertical="center" wrapText="1"/>
      <protection/>
    </xf>
    <xf numFmtId="49" fontId="7" fillId="0" borderId="36" xfId="219" applyNumberFormat="1" applyFont="1" applyFill="1" applyBorder="1" applyAlignment="1">
      <alignment horizontal="center" vertical="center" wrapText="1"/>
      <protection/>
    </xf>
    <xf numFmtId="49" fontId="7" fillId="0" borderId="24" xfId="219" applyNumberFormat="1" applyFont="1" applyFill="1" applyBorder="1" applyAlignment="1">
      <alignment horizontal="center" vertical="center" wrapText="1"/>
      <protection/>
    </xf>
    <xf numFmtId="49" fontId="7" fillId="0" borderId="39" xfId="219" applyNumberFormat="1" applyFont="1" applyFill="1" applyBorder="1" applyAlignment="1">
      <alignment horizontal="center" vertical="center" wrapText="1"/>
      <protection/>
    </xf>
    <xf numFmtId="49" fontId="7" fillId="0" borderId="27" xfId="219" applyNumberFormat="1" applyFont="1" applyFill="1" applyBorder="1" applyAlignment="1">
      <alignment horizontal="center" vertical="center" wrapText="1"/>
      <protection/>
    </xf>
    <xf numFmtId="49" fontId="7" fillId="0" borderId="37" xfId="219" applyNumberFormat="1" applyFont="1" applyFill="1" applyBorder="1" applyAlignment="1">
      <alignment horizontal="center" vertical="center" wrapText="1"/>
      <protection/>
    </xf>
    <xf numFmtId="49" fontId="13" fillId="0" borderId="0" xfId="219" applyNumberFormat="1" applyFont="1" applyBorder="1" applyAlignment="1">
      <alignment wrapText="1"/>
      <protection/>
    </xf>
    <xf numFmtId="49" fontId="13" fillId="0" borderId="0" xfId="219" applyNumberFormat="1" applyFont="1" applyBorder="1" applyAlignment="1">
      <alignment horizontal="center" wrapText="1"/>
      <protection/>
    </xf>
    <xf numFmtId="49" fontId="7" fillId="44" borderId="26" xfId="219" applyNumberFormat="1" applyFont="1" applyFill="1" applyBorder="1" applyAlignment="1">
      <alignment horizontal="center" vertical="center" wrapText="1"/>
      <protection/>
    </xf>
    <xf numFmtId="49" fontId="7" fillId="44" borderId="25" xfId="219" applyNumberFormat="1" applyFont="1" applyFill="1" applyBorder="1" applyAlignment="1">
      <alignment horizontal="center" vertical="center" wrapText="1"/>
      <protection/>
    </xf>
    <xf numFmtId="49" fontId="16" fillId="0" borderId="26" xfId="219" applyNumberFormat="1" applyFont="1" applyBorder="1" applyAlignment="1">
      <alignment horizontal="center" wrapText="1"/>
      <protection/>
    </xf>
    <xf numFmtId="49" fontId="16" fillId="0" borderId="25" xfId="219" applyNumberFormat="1" applyFont="1" applyBorder="1" applyAlignment="1">
      <alignment horizontal="center" wrapText="1"/>
      <protection/>
    </xf>
    <xf numFmtId="49" fontId="28" fillId="0" borderId="0" xfId="219" applyNumberFormat="1" applyFont="1" applyBorder="1" applyAlignment="1">
      <alignment horizontal="center" wrapText="1"/>
      <protection/>
    </xf>
    <xf numFmtId="49" fontId="28" fillId="0" borderId="0" xfId="219" applyNumberFormat="1" applyFont="1" applyAlignment="1">
      <alignment horizontal="center"/>
      <protection/>
    </xf>
    <xf numFmtId="49" fontId="0" fillId="0" borderId="0" xfId="219" applyNumberFormat="1" applyFont="1" applyAlignment="1">
      <alignment horizontal="left" wrapText="1"/>
      <protection/>
    </xf>
    <xf numFmtId="49" fontId="3" fillId="0" borderId="0" xfId="219" applyNumberFormat="1" applyFont="1" applyAlignment="1">
      <alignment horizontal="left" wrapText="1"/>
      <protection/>
    </xf>
    <xf numFmtId="49" fontId="0" fillId="0" borderId="0" xfId="219" applyNumberFormat="1" applyFont="1" applyAlignment="1">
      <alignment/>
      <protection/>
    </xf>
    <xf numFmtId="49" fontId="14" fillId="0" borderId="0" xfId="219" applyNumberFormat="1" applyFont="1" applyAlignment="1">
      <alignment horizontal="center" wrapText="1"/>
      <protection/>
    </xf>
    <xf numFmtId="49" fontId="18" fillId="0" borderId="22" xfId="219" applyNumberFormat="1" applyFont="1" applyBorder="1" applyAlignment="1">
      <alignment horizontal="left"/>
      <protection/>
    </xf>
    <xf numFmtId="49" fontId="18" fillId="0" borderId="0" xfId="219" applyNumberFormat="1" applyFont="1" applyAlignment="1">
      <alignment horizontal="center"/>
      <protection/>
    </xf>
    <xf numFmtId="49" fontId="55" fillId="3" borderId="26" xfId="219" applyNumberFormat="1" applyFont="1" applyFill="1" applyBorder="1" applyAlignment="1">
      <alignment horizontal="center" wrapText="1"/>
      <protection/>
    </xf>
    <xf numFmtId="49" fontId="55" fillId="3" borderId="25" xfId="219" applyNumberFormat="1" applyFont="1" applyFill="1" applyBorder="1" applyAlignment="1">
      <alignment horizontal="center" wrapText="1"/>
      <protection/>
    </xf>
    <xf numFmtId="49" fontId="54" fillId="3" borderId="26" xfId="219" applyNumberFormat="1" applyFont="1" applyFill="1" applyBorder="1" applyAlignment="1">
      <alignment horizontal="center" wrapText="1"/>
      <protection/>
    </xf>
    <xf numFmtId="49" fontId="54" fillId="3" borderId="25" xfId="219" applyNumberFormat="1" applyFont="1" applyFill="1" applyBorder="1" applyAlignment="1">
      <alignment horizontal="center" wrapText="1"/>
      <protection/>
    </xf>
    <xf numFmtId="49" fontId="3" fillId="0" borderId="20" xfId="219" applyNumberFormat="1" applyFont="1" applyBorder="1" applyAlignment="1">
      <alignment horizontal="center"/>
      <protection/>
    </xf>
    <xf numFmtId="49" fontId="18" fillId="0" borderId="0" xfId="219" applyNumberFormat="1" applyFont="1" applyBorder="1" applyAlignment="1">
      <alignment horizontal="left"/>
      <protection/>
    </xf>
    <xf numFmtId="49" fontId="3" fillId="0" borderId="20" xfId="219" applyNumberFormat="1" applyFont="1" applyFill="1" applyBorder="1" applyAlignment="1">
      <alignment horizontal="center" vertical="center" wrapText="1"/>
      <protection/>
    </xf>
    <xf numFmtId="49" fontId="20" fillId="0" borderId="20" xfId="219" applyNumberFormat="1" applyFont="1" applyFill="1" applyBorder="1" applyAlignment="1">
      <alignment horizontal="center" vertical="center" wrapText="1"/>
      <protection/>
    </xf>
    <xf numFmtId="49" fontId="75" fillId="4" borderId="21" xfId="221" applyNumberFormat="1" applyFont="1" applyFill="1" applyBorder="1" applyAlignment="1">
      <alignment horizontal="center" vertical="center" wrapText="1"/>
      <protection/>
    </xf>
    <xf numFmtId="49" fontId="75" fillId="4" borderId="38" xfId="221" applyNumberFormat="1" applyFont="1" applyFill="1" applyBorder="1" applyAlignment="1">
      <alignment horizontal="center" vertical="center" wrapText="1"/>
      <protection/>
    </xf>
    <xf numFmtId="49" fontId="75" fillId="4" borderId="23" xfId="221" applyNumberFormat="1" applyFont="1" applyFill="1" applyBorder="1" applyAlignment="1">
      <alignment horizontal="center" vertical="center" wrapText="1"/>
      <protection/>
    </xf>
    <xf numFmtId="49" fontId="0" fillId="0" borderId="0" xfId="221" applyNumberFormat="1" applyFont="1" applyAlignment="1">
      <alignment horizontal="left"/>
      <protection/>
    </xf>
    <xf numFmtId="49" fontId="83" fillId="0" borderId="26" xfId="221" applyNumberFormat="1" applyFont="1" applyBorder="1" applyAlignment="1">
      <alignment horizontal="center" vertical="center" wrapText="1"/>
      <protection/>
    </xf>
    <xf numFmtId="49" fontId="83" fillId="0" borderId="25" xfId="221" applyNumberFormat="1" applyFont="1" applyBorder="1" applyAlignment="1">
      <alignment horizontal="center" vertical="center" wrapText="1"/>
      <protection/>
    </xf>
    <xf numFmtId="49" fontId="30" fillId="0" borderId="0" xfId="221" applyNumberFormat="1" applyFont="1" applyBorder="1" applyAlignment="1">
      <alignment horizontal="center" wrapText="1"/>
      <protection/>
    </xf>
    <xf numFmtId="49" fontId="6" fillId="0" borderId="40" xfId="221" applyNumberFormat="1" applyFont="1" applyFill="1" applyBorder="1" applyAlignment="1">
      <alignment horizontal="center" vertical="center"/>
      <protection/>
    </xf>
    <xf numFmtId="49" fontId="6" fillId="0" borderId="20" xfId="221" applyNumberFormat="1" applyFont="1" applyFill="1" applyBorder="1" applyAlignment="1">
      <alignment horizontal="center" vertical="center" wrapText="1"/>
      <protection/>
    </xf>
    <xf numFmtId="49" fontId="6" fillId="0" borderId="21" xfId="221" applyNumberFormat="1" applyFont="1" applyFill="1" applyBorder="1" applyAlignment="1">
      <alignment horizontal="center" vertical="center" wrapText="1"/>
      <protection/>
    </xf>
    <xf numFmtId="49" fontId="6" fillId="0" borderId="38" xfId="221" applyNumberFormat="1" applyFont="1" applyFill="1" applyBorder="1" applyAlignment="1">
      <alignment horizontal="center" vertical="center" wrapText="1"/>
      <protection/>
    </xf>
    <xf numFmtId="49" fontId="6" fillId="0" borderId="23" xfId="221" applyNumberFormat="1" applyFont="1" applyFill="1" applyBorder="1" applyAlignment="1">
      <alignment horizontal="center" vertical="center" wrapText="1"/>
      <protection/>
    </xf>
    <xf numFmtId="49" fontId="13" fillId="0" borderId="0" xfId="221" applyNumberFormat="1" applyFont="1" applyAlignment="1">
      <alignment horizontal="center"/>
      <protection/>
    </xf>
    <xf numFmtId="49" fontId="30" fillId="0" borderId="0" xfId="221" applyNumberFormat="1" applyFont="1" applyBorder="1" applyAlignment="1">
      <alignment horizontal="center"/>
      <protection/>
    </xf>
    <xf numFmtId="49" fontId="85" fillId="3" borderId="26" xfId="221" applyNumberFormat="1" applyFont="1" applyFill="1" applyBorder="1" applyAlignment="1">
      <alignment horizontal="center" vertical="center" wrapText="1"/>
      <protection/>
    </xf>
    <xf numFmtId="49" fontId="85" fillId="3" borderId="25" xfId="221" applyNumberFormat="1" applyFont="1" applyFill="1" applyBorder="1" applyAlignment="1">
      <alignment horizontal="center" vertical="center" wrapText="1"/>
      <protection/>
    </xf>
    <xf numFmtId="49" fontId="28" fillId="0" borderId="0" xfId="221" applyNumberFormat="1" applyFont="1" applyAlignment="1">
      <alignment horizontal="center"/>
      <protection/>
    </xf>
    <xf numFmtId="0" fontId="25" fillId="47" borderId="0" xfId="221" applyFont="1" applyFill="1" applyBorder="1" applyAlignment="1">
      <alignment horizontal="center"/>
      <protection/>
    </xf>
    <xf numFmtId="49" fontId="30" fillId="0" borderId="0" xfId="221" applyNumberFormat="1" applyFont="1" applyAlignment="1">
      <alignment horizontal="center"/>
      <protection/>
    </xf>
    <xf numFmtId="49" fontId="25" fillId="0" borderId="0" xfId="221" applyNumberFormat="1" applyFont="1" applyBorder="1" applyAlignment="1">
      <alignment horizontal="center" wrapText="1"/>
      <protection/>
    </xf>
    <xf numFmtId="49" fontId="6" fillId="0" borderId="26" xfId="221" applyNumberFormat="1" applyFont="1" applyBorder="1" applyAlignment="1">
      <alignment horizontal="center" vertical="center" wrapText="1"/>
      <protection/>
    </xf>
    <xf numFmtId="49" fontId="6" fillId="0" borderId="25" xfId="221" applyNumberFormat="1" applyFont="1" applyBorder="1" applyAlignment="1">
      <alignment horizontal="center" vertical="center" wrapText="1"/>
      <protection/>
    </xf>
    <xf numFmtId="49" fontId="25" fillId="0" borderId="0" xfId="221" applyNumberFormat="1" applyFont="1" applyBorder="1" applyAlignment="1">
      <alignment horizontal="center"/>
      <protection/>
    </xf>
    <xf numFmtId="49" fontId="3" fillId="0" borderId="0" xfId="221" applyNumberFormat="1" applyFont="1" applyBorder="1" applyAlignment="1">
      <alignment horizontal="left"/>
      <protection/>
    </xf>
    <xf numFmtId="49" fontId="6" fillId="0" borderId="35" xfId="221" applyNumberFormat="1" applyFont="1" applyFill="1" applyBorder="1" applyAlignment="1">
      <alignment horizontal="center" vertical="center"/>
      <protection/>
    </xf>
    <xf numFmtId="49" fontId="6" fillId="0" borderId="36" xfId="221" applyNumberFormat="1" applyFont="1" applyFill="1" applyBorder="1" applyAlignment="1">
      <alignment horizontal="center" vertical="center"/>
      <protection/>
    </xf>
    <xf numFmtId="49" fontId="6" fillId="0" borderId="24" xfId="221" applyNumberFormat="1" applyFont="1" applyFill="1" applyBorder="1" applyAlignment="1">
      <alignment horizontal="center" vertical="center"/>
      <protection/>
    </xf>
    <xf numFmtId="49" fontId="6" fillId="0" borderId="39" xfId="221" applyNumberFormat="1" applyFont="1" applyFill="1" applyBorder="1" applyAlignment="1">
      <alignment horizontal="center" vertical="center"/>
      <protection/>
    </xf>
    <xf numFmtId="49" fontId="6" fillId="0" borderId="27" xfId="221" applyNumberFormat="1" applyFont="1" applyFill="1" applyBorder="1" applyAlignment="1">
      <alignment horizontal="center" vertical="center"/>
      <protection/>
    </xf>
    <xf numFmtId="49" fontId="6" fillId="0" borderId="37" xfId="221" applyNumberFormat="1" applyFont="1" applyFill="1" applyBorder="1" applyAlignment="1">
      <alignment horizontal="center" vertical="center"/>
      <protection/>
    </xf>
    <xf numFmtId="49" fontId="14" fillId="0" borderId="0" xfId="221" applyNumberFormat="1" applyFont="1" applyFill="1" applyAlignment="1">
      <alignment horizontal="center" wrapText="1"/>
      <protection/>
    </xf>
    <xf numFmtId="49" fontId="14" fillId="0" borderId="0" xfId="221" applyNumberFormat="1" applyFont="1" applyAlignment="1">
      <alignment horizontal="center"/>
      <protection/>
    </xf>
    <xf numFmtId="49" fontId="4" fillId="0" borderId="0" xfId="221" applyNumberFormat="1" applyFont="1" applyAlignment="1">
      <alignment horizontal="left"/>
      <protection/>
    </xf>
    <xf numFmtId="49" fontId="6" fillId="0" borderId="26" xfId="221" applyNumberFormat="1" applyFont="1" applyFill="1" applyBorder="1" applyAlignment="1">
      <alignment horizontal="center" vertical="center"/>
      <protection/>
    </xf>
    <xf numFmtId="49" fontId="3" fillId="0" borderId="0" xfId="221" applyNumberFormat="1" applyFont="1" applyFill="1" applyAlignment="1">
      <alignment horizontal="left"/>
      <protection/>
    </xf>
    <xf numFmtId="49" fontId="32" fillId="0" borderId="0" xfId="221" applyNumberFormat="1" applyFont="1" applyAlignment="1">
      <alignment horizontal="center"/>
      <protection/>
    </xf>
    <xf numFmtId="49" fontId="18" fillId="0" borderId="0" xfId="221" applyNumberFormat="1" applyFont="1" applyBorder="1" applyAlignment="1">
      <alignment horizontal="left"/>
      <protection/>
    </xf>
    <xf numFmtId="49" fontId="6" fillId="0" borderId="26" xfId="221" applyNumberFormat="1" applyFont="1" applyFill="1" applyBorder="1" applyAlignment="1">
      <alignment horizontal="center" vertical="center" wrapText="1"/>
      <protection/>
    </xf>
    <xf numFmtId="49" fontId="84" fillId="3" borderId="26" xfId="221" applyNumberFormat="1" applyFont="1" applyFill="1" applyBorder="1" applyAlignment="1">
      <alignment horizontal="center" vertical="center" wrapText="1"/>
      <protection/>
    </xf>
    <xf numFmtId="49" fontId="84" fillId="3" borderId="25" xfId="221" applyNumberFormat="1" applyFont="1" applyFill="1" applyBorder="1" applyAlignment="1">
      <alignment horizontal="center" vertical="center" wrapText="1"/>
      <protection/>
    </xf>
    <xf numFmtId="49" fontId="6" fillId="0" borderId="25" xfId="221" applyNumberFormat="1" applyFont="1" applyFill="1" applyBorder="1" applyAlignment="1">
      <alignment horizontal="center" vertical="center" wrapText="1"/>
      <protection/>
    </xf>
    <xf numFmtId="0" fontId="67" fillId="3" borderId="26" xfId="221" applyFont="1" applyFill="1" applyBorder="1" applyAlignment="1">
      <alignment horizontal="center" vertical="center" wrapText="1"/>
      <protection/>
    </xf>
    <xf numFmtId="0" fontId="67" fillId="3" borderId="25" xfId="221" applyFont="1" applyFill="1" applyBorder="1" applyAlignment="1">
      <alignment horizontal="center" vertical="center" wrapText="1"/>
      <protection/>
    </xf>
    <xf numFmtId="0" fontId="87" fillId="0" borderId="0" xfId="221" applyFont="1" applyAlignment="1">
      <alignment horizontal="center"/>
      <protection/>
    </xf>
    <xf numFmtId="0" fontId="6" fillId="0" borderId="26" xfId="221" applyFont="1" applyBorder="1" applyAlignment="1">
      <alignment horizontal="center" vertical="center" wrapText="1"/>
      <protection/>
    </xf>
    <xf numFmtId="0" fontId="6" fillId="0" borderId="25" xfId="221" applyFont="1" applyBorder="1" applyAlignment="1">
      <alignment horizontal="center" vertical="center" wrapText="1"/>
      <protection/>
    </xf>
    <xf numFmtId="0" fontId="6" fillId="0" borderId="20" xfId="221" applyFont="1" applyBorder="1" applyAlignment="1">
      <alignment horizontal="center" vertical="center" wrapText="1"/>
      <protection/>
    </xf>
    <xf numFmtId="0" fontId="6" fillId="0" borderId="21" xfId="221" applyFont="1" applyBorder="1" applyAlignment="1">
      <alignment horizontal="center" vertical="center" wrapText="1"/>
      <protection/>
    </xf>
    <xf numFmtId="0" fontId="6" fillId="0" borderId="38" xfId="221" applyFont="1" applyBorder="1" applyAlignment="1">
      <alignment horizontal="center" vertical="center" wrapText="1"/>
      <protection/>
    </xf>
    <xf numFmtId="0" fontId="6" fillId="0" borderId="23" xfId="221" applyFont="1" applyBorder="1" applyAlignment="1">
      <alignment horizontal="center" vertical="center" wrapText="1"/>
      <protection/>
    </xf>
    <xf numFmtId="0" fontId="21" fillId="0" borderId="26" xfId="221" applyFont="1" applyBorder="1" applyAlignment="1">
      <alignment horizontal="center" vertical="center" wrapText="1"/>
      <protection/>
    </xf>
    <xf numFmtId="0" fontId="21" fillId="0" borderId="25" xfId="221" applyFont="1" applyBorder="1" applyAlignment="1">
      <alignment horizontal="center" vertical="center" wrapText="1"/>
      <protection/>
    </xf>
    <xf numFmtId="49" fontId="6" fillId="0" borderId="19" xfId="221" applyNumberFormat="1" applyFont="1" applyFill="1" applyBorder="1" applyAlignment="1">
      <alignment horizontal="center" vertical="center"/>
      <protection/>
    </xf>
    <xf numFmtId="49" fontId="6" fillId="0" borderId="0" xfId="221" applyNumberFormat="1" applyFont="1" applyFill="1" applyBorder="1" applyAlignment="1">
      <alignment horizontal="center" vertical="center"/>
      <protection/>
    </xf>
    <xf numFmtId="49" fontId="6" fillId="0" borderId="22" xfId="221" applyNumberFormat="1" applyFont="1" applyFill="1" applyBorder="1" applyAlignment="1">
      <alignment horizontal="center" vertical="center"/>
      <protection/>
    </xf>
    <xf numFmtId="0" fontId="13" fillId="0" borderId="22" xfId="221" applyFont="1" applyBorder="1" applyAlignment="1">
      <alignment horizontal="left"/>
      <protection/>
    </xf>
    <xf numFmtId="0" fontId="6" fillId="0" borderId="26" xfId="221" applyFont="1" applyBorder="1" applyAlignment="1">
      <alignment horizontal="center" vertical="center"/>
      <protection/>
    </xf>
    <xf numFmtId="0" fontId="6" fillId="0" borderId="40" xfId="221" applyFont="1" applyBorder="1" applyAlignment="1">
      <alignment horizontal="center" vertical="center"/>
      <protection/>
    </xf>
    <xf numFmtId="0" fontId="6" fillId="0" borderId="25" xfId="221" applyFont="1" applyBorder="1" applyAlignment="1">
      <alignment horizontal="center" vertical="center"/>
      <protection/>
    </xf>
    <xf numFmtId="0" fontId="30" fillId="0" borderId="0" xfId="221" applyNumberFormat="1" applyFont="1" applyBorder="1" applyAlignment="1">
      <alignment horizontal="center"/>
      <protection/>
    </xf>
    <xf numFmtId="0" fontId="30" fillId="0" borderId="0" xfId="221" applyFont="1" applyBorder="1" applyAlignment="1">
      <alignment horizontal="center" wrapText="1"/>
      <protection/>
    </xf>
    <xf numFmtId="0" fontId="25" fillId="0" borderId="0" xfId="221" applyFont="1" applyBorder="1" applyAlignment="1">
      <alignment horizontal="center" wrapText="1"/>
      <protection/>
    </xf>
    <xf numFmtId="0" fontId="66" fillId="3" borderId="26" xfId="221" applyFont="1" applyFill="1" applyBorder="1" applyAlignment="1">
      <alignment horizontal="center" vertical="center" wrapText="1"/>
      <protection/>
    </xf>
    <xf numFmtId="0" fontId="66" fillId="3" borderId="25" xfId="221" applyFont="1" applyFill="1" applyBorder="1" applyAlignment="1">
      <alignment horizontal="center" vertical="center" wrapText="1"/>
      <protection/>
    </xf>
    <xf numFmtId="0" fontId="25" fillId="0" borderId="0" xfId="221" applyNumberFormat="1" applyFont="1" applyBorder="1" applyAlignment="1">
      <alignment horizontal="center"/>
      <protection/>
    </xf>
    <xf numFmtId="0" fontId="3" fillId="0" borderId="0" xfId="221" applyNumberFormat="1" applyFont="1" applyAlignment="1">
      <alignment horizontal="left"/>
      <protection/>
    </xf>
    <xf numFmtId="0" fontId="0" fillId="0" borderId="0" xfId="221" applyFont="1" applyAlignment="1">
      <alignment horizontal="left"/>
      <protection/>
    </xf>
    <xf numFmtId="0" fontId="0" fillId="0" borderId="0" xfId="221" applyFont="1" applyBorder="1" applyAlignment="1">
      <alignment/>
      <protection/>
    </xf>
    <xf numFmtId="0" fontId="14" fillId="0" borderId="0" xfId="221" applyFont="1" applyAlignment="1">
      <alignment horizontal="center" wrapText="1"/>
      <protection/>
    </xf>
    <xf numFmtId="0" fontId="13" fillId="0" borderId="0" xfId="221" applyFont="1" applyBorder="1" applyAlignment="1">
      <alignment horizontal="center"/>
      <protection/>
    </xf>
    <xf numFmtId="3" fontId="0" fillId="47" borderId="0" xfId="221" applyNumberFormat="1" applyFont="1" applyFill="1" applyBorder="1" applyAlignment="1">
      <alignment horizontal="left"/>
      <protection/>
    </xf>
    <xf numFmtId="0" fontId="3" fillId="0" borderId="0" xfId="221" applyFont="1" applyBorder="1" applyAlignment="1">
      <alignment horizontal="left"/>
      <protection/>
    </xf>
    <xf numFmtId="0" fontId="0" fillId="0" borderId="0" xfId="221" applyFont="1" applyBorder="1" applyAlignment="1">
      <alignment horizontal="left"/>
      <protection/>
    </xf>
    <xf numFmtId="0" fontId="12" fillId="0" borderId="20" xfId="221" applyFont="1" applyBorder="1" applyAlignment="1">
      <alignment horizontal="center" vertical="center" wrapText="1"/>
      <protection/>
    </xf>
    <xf numFmtId="0" fontId="14" fillId="0" borderId="0" xfId="221" applyFont="1" applyAlignment="1">
      <alignment horizontal="center"/>
      <protection/>
    </xf>
    <xf numFmtId="0" fontId="6" fillId="0" borderId="20" xfId="221" applyFont="1" applyFill="1" applyBorder="1" applyAlignment="1">
      <alignment horizontal="center" vertical="center" wrapText="1"/>
      <protection/>
    </xf>
    <xf numFmtId="0" fontId="32" fillId="0" borderId="0" xfId="221" applyFont="1" applyAlignment="1">
      <alignment horizontal="center"/>
      <protection/>
    </xf>
    <xf numFmtId="0" fontId="6" fillId="0" borderId="35" xfId="221" applyFont="1" applyBorder="1" applyAlignment="1">
      <alignment horizontal="center" vertical="center" wrapText="1"/>
      <protection/>
    </xf>
    <xf numFmtId="0" fontId="6" fillId="0" borderId="19" xfId="221" applyFont="1" applyBorder="1" applyAlignment="1">
      <alignment horizontal="center" vertical="center" wrapText="1"/>
      <protection/>
    </xf>
    <xf numFmtId="0" fontId="6" fillId="0" borderId="36" xfId="221" applyFont="1" applyBorder="1" applyAlignment="1">
      <alignment horizontal="center" vertical="center" wrapText="1"/>
      <protection/>
    </xf>
    <xf numFmtId="0" fontId="6" fillId="0" borderId="24" xfId="221" applyFont="1" applyBorder="1" applyAlignment="1">
      <alignment horizontal="center" vertical="center" wrapText="1"/>
      <protection/>
    </xf>
    <xf numFmtId="0" fontId="6" fillId="0" borderId="0" xfId="221" applyFont="1" applyBorder="1" applyAlignment="1">
      <alignment horizontal="center" vertical="center" wrapText="1"/>
      <protection/>
    </xf>
    <xf numFmtId="0" fontId="6" fillId="0" borderId="39" xfId="221" applyFont="1" applyBorder="1" applyAlignment="1">
      <alignment horizontal="center" vertical="center" wrapText="1"/>
      <protection/>
    </xf>
    <xf numFmtId="0" fontId="6" fillId="0" borderId="20" xfId="221" applyFont="1" applyBorder="1" applyAlignment="1">
      <alignment horizontal="center" vertical="center"/>
      <protection/>
    </xf>
    <xf numFmtId="49" fontId="19" fillId="0" borderId="22" xfId="221" applyNumberFormat="1" applyFont="1" applyBorder="1" applyAlignment="1">
      <alignment horizontal="center"/>
      <protection/>
    </xf>
    <xf numFmtId="49" fontId="73" fillId="0" borderId="20" xfId="221" applyNumberFormat="1" applyFont="1" applyBorder="1" applyAlignment="1">
      <alignment horizontal="center" vertical="center" wrapText="1"/>
      <protection/>
    </xf>
    <xf numFmtId="49" fontId="12" fillId="0" borderId="20" xfId="221" applyNumberFormat="1" applyFont="1" applyBorder="1" applyAlignment="1">
      <alignment horizontal="center" vertical="center" wrapText="1"/>
      <protection/>
    </xf>
    <xf numFmtId="49" fontId="3" fillId="0" borderId="0" xfId="221" applyNumberFormat="1" applyFont="1" applyAlignment="1">
      <alignment horizontal="left"/>
      <protection/>
    </xf>
    <xf numFmtId="49" fontId="5" fillId="0" borderId="0" xfId="221" applyNumberFormat="1" applyFont="1" applyBorder="1" applyAlignment="1">
      <alignment horizontal="left" wrapText="1"/>
      <protection/>
    </xf>
    <xf numFmtId="49" fontId="5" fillId="0" borderId="0" xfId="221" applyNumberFormat="1" applyFont="1" applyBorder="1" applyAlignment="1">
      <alignment horizontal="left"/>
      <protection/>
    </xf>
    <xf numFmtId="49" fontId="14" fillId="0" borderId="0" xfId="221" applyNumberFormat="1" applyFont="1" applyAlignment="1">
      <alignment horizontal="center" wrapText="1"/>
      <protection/>
    </xf>
    <xf numFmtId="49" fontId="0" fillId="47" borderId="0" xfId="221" applyNumberFormat="1" applyFont="1" applyFill="1" applyBorder="1" applyAlignment="1">
      <alignment horizontal="left" vertical="top" wrapText="1"/>
      <protection/>
    </xf>
    <xf numFmtId="49" fontId="3" fillId="47" borderId="0" xfId="221" applyNumberFormat="1" applyFont="1" applyFill="1" applyBorder="1" applyAlignment="1">
      <alignment horizontal="left" vertical="top" wrapText="1"/>
      <protection/>
    </xf>
    <xf numFmtId="49" fontId="0" fillId="0" borderId="0" xfId="221" applyNumberFormat="1" applyFont="1" applyAlignment="1">
      <alignment horizontal="justify" vertical="top"/>
      <protection/>
    </xf>
    <xf numFmtId="49" fontId="0" fillId="0" borderId="0" xfId="221" applyNumberFormat="1" applyFont="1" applyBorder="1" applyAlignment="1">
      <alignment horizontal="justify" vertical="top" wrapText="1"/>
      <protection/>
    </xf>
    <xf numFmtId="49" fontId="0" fillId="0" borderId="0" xfId="221" applyNumberFormat="1" applyFont="1" applyBorder="1" applyAlignment="1">
      <alignment horizontal="justify" vertical="top"/>
      <protection/>
    </xf>
    <xf numFmtId="49" fontId="18" fillId="0" borderId="0" xfId="221" applyNumberFormat="1" applyFont="1" applyAlignment="1">
      <alignment horizontal="center" wrapText="1"/>
      <protection/>
    </xf>
    <xf numFmtId="49" fontId="78" fillId="0" borderId="0" xfId="221" applyNumberFormat="1" applyFont="1" applyAlignment="1">
      <alignment horizontal="center"/>
      <protection/>
    </xf>
    <xf numFmtId="49" fontId="6" fillId="0" borderId="20" xfId="221" applyNumberFormat="1" applyFont="1" applyFill="1" applyBorder="1" applyAlignment="1">
      <alignment horizontal="center" vertical="center"/>
      <protection/>
    </xf>
    <xf numFmtId="49" fontId="76" fillId="3" borderId="26" xfId="221" applyNumberFormat="1" applyFont="1" applyFill="1" applyBorder="1" applyAlignment="1">
      <alignment horizontal="center" vertical="center" wrapText="1"/>
      <protection/>
    </xf>
    <xf numFmtId="49" fontId="76" fillId="3" borderId="25" xfId="221" applyNumberFormat="1" applyFont="1" applyFill="1" applyBorder="1" applyAlignment="1">
      <alignment horizontal="center" vertical="center" wrapText="1"/>
      <protection/>
    </xf>
    <xf numFmtId="49" fontId="74" fillId="3" borderId="26" xfId="221" applyNumberFormat="1" applyFont="1" applyFill="1" applyBorder="1" applyAlignment="1">
      <alignment horizontal="center" vertical="center" wrapText="1"/>
      <protection/>
    </xf>
    <xf numFmtId="49" fontId="74" fillId="3" borderId="25" xfId="221" applyNumberFormat="1" applyFont="1" applyFill="1" applyBorder="1" applyAlignment="1">
      <alignment horizontal="center" vertical="center" wrapText="1"/>
      <protection/>
    </xf>
    <xf numFmtId="49" fontId="6" fillId="0" borderId="21" xfId="221" applyNumberFormat="1" applyFont="1" applyBorder="1" applyAlignment="1">
      <alignment horizontal="center" vertical="center" wrapText="1"/>
      <protection/>
    </xf>
    <xf numFmtId="49" fontId="6" fillId="0" borderId="38" xfId="221" applyNumberFormat="1" applyFont="1" applyBorder="1" applyAlignment="1">
      <alignment horizontal="center" vertical="center" wrapText="1"/>
      <protection/>
    </xf>
    <xf numFmtId="49" fontId="6" fillId="0" borderId="23" xfId="221" applyNumberFormat="1" applyFont="1" applyBorder="1" applyAlignment="1">
      <alignment horizontal="center" vertical="center" wrapText="1"/>
      <protection/>
    </xf>
    <xf numFmtId="49" fontId="30" fillId="0" borderId="0" xfId="221" applyNumberFormat="1" applyFont="1" applyBorder="1" applyAlignment="1">
      <alignment horizontal="left" wrapText="1"/>
      <protection/>
    </xf>
    <xf numFmtId="49" fontId="18" fillId="0" borderId="22" xfId="221" applyNumberFormat="1" applyFont="1" applyBorder="1" applyAlignment="1">
      <alignment horizontal="left"/>
      <protection/>
    </xf>
    <xf numFmtId="49" fontId="6" fillId="0" borderId="40" xfId="221" applyNumberFormat="1" applyFont="1" applyBorder="1" applyAlignment="1">
      <alignment horizontal="center" vertical="center" wrapText="1"/>
      <protection/>
    </xf>
    <xf numFmtId="49" fontId="19" fillId="0" borderId="0" xfId="221" applyNumberFormat="1" applyFont="1" applyAlignment="1">
      <alignment horizontal="center"/>
      <protection/>
    </xf>
    <xf numFmtId="49" fontId="7" fillId="0" borderId="0" xfId="221" applyNumberFormat="1" applyFont="1" applyAlignment="1">
      <alignment horizontal="left"/>
      <protection/>
    </xf>
    <xf numFmtId="49" fontId="13" fillId="0" borderId="0" xfId="221" applyNumberFormat="1" applyFont="1" applyBorder="1" applyAlignment="1">
      <alignment horizontal="left"/>
      <protection/>
    </xf>
    <xf numFmtId="49" fontId="7" fillId="0" borderId="26" xfId="221" applyNumberFormat="1" applyFont="1" applyBorder="1" applyAlignment="1">
      <alignment horizontal="center" vertical="center" wrapText="1"/>
      <protection/>
    </xf>
    <xf numFmtId="49" fontId="7" fillId="0" borderId="25" xfId="221" applyNumberFormat="1" applyFont="1" applyBorder="1" applyAlignment="1">
      <alignment horizontal="center" vertical="center" wrapText="1"/>
      <protection/>
    </xf>
    <xf numFmtId="49" fontId="4" fillId="0" borderId="0" xfId="221" applyNumberFormat="1" applyFont="1" applyAlignment="1">
      <alignment/>
      <protection/>
    </xf>
    <xf numFmtId="49" fontId="0" fillId="0" borderId="0" xfId="221" applyNumberFormat="1" applyFont="1" applyBorder="1" applyAlignment="1">
      <alignment horizontal="left"/>
      <protection/>
    </xf>
    <xf numFmtId="49" fontId="19" fillId="0" borderId="26" xfId="221" applyNumberFormat="1" applyFont="1" applyBorder="1" applyAlignment="1">
      <alignment horizontal="center" vertical="center" wrapText="1"/>
      <protection/>
    </xf>
    <xf numFmtId="49" fontId="19" fillId="0" borderId="25" xfId="221" applyNumberFormat="1" applyFont="1" applyBorder="1" applyAlignment="1">
      <alignment horizontal="center" vertical="center" wrapText="1"/>
      <protection/>
    </xf>
    <xf numFmtId="49" fontId="89" fillId="3" borderId="26" xfId="221" applyNumberFormat="1" applyFont="1" applyFill="1" applyBorder="1" applyAlignment="1">
      <alignment horizontal="center" vertical="center" wrapText="1"/>
      <protection/>
    </xf>
    <xf numFmtId="49" fontId="89" fillId="3" borderId="25" xfId="221" applyNumberFormat="1" applyFont="1" applyFill="1" applyBorder="1" applyAlignment="1">
      <alignment horizontal="center" vertical="center" wrapText="1"/>
      <protection/>
    </xf>
    <xf numFmtId="49" fontId="88" fillId="3" borderId="26" xfId="221" applyNumberFormat="1" applyFont="1" applyFill="1" applyBorder="1" applyAlignment="1">
      <alignment horizontal="center" vertical="center" wrapText="1"/>
      <protection/>
    </xf>
    <xf numFmtId="49" fontId="88" fillId="3" borderId="25" xfId="221" applyNumberFormat="1" applyFont="1" applyFill="1" applyBorder="1" applyAlignment="1">
      <alignment horizontal="center" vertical="center" wrapText="1"/>
      <protection/>
    </xf>
    <xf numFmtId="49" fontId="6" fillId="0" borderId="40" xfId="221" applyNumberFormat="1" applyFont="1" applyFill="1" applyBorder="1" applyAlignment="1">
      <alignment horizontal="center" vertical="center" wrapText="1"/>
      <protection/>
    </xf>
    <xf numFmtId="49" fontId="89" fillId="3" borderId="26" xfId="221" applyNumberFormat="1" applyFont="1" applyFill="1" applyBorder="1" applyAlignment="1">
      <alignment horizontal="center" vertical="center"/>
      <protection/>
    </xf>
    <xf numFmtId="49" fontId="89" fillId="3" borderId="25" xfId="221" applyNumberFormat="1" applyFont="1" applyFill="1" applyBorder="1" applyAlignment="1">
      <alignment horizontal="center" vertical="center"/>
      <protection/>
    </xf>
    <xf numFmtId="49" fontId="13" fillId="0" borderId="22" xfId="221" applyNumberFormat="1" applyFont="1" applyFill="1" applyBorder="1" applyAlignment="1">
      <alignment horizontal="center" vertical="center"/>
      <protection/>
    </xf>
    <xf numFmtId="49" fontId="6" fillId="0" borderId="27" xfId="221" applyNumberFormat="1" applyFont="1" applyFill="1" applyBorder="1" applyAlignment="1">
      <alignment horizontal="center" vertical="center" wrapText="1"/>
      <protection/>
    </xf>
    <xf numFmtId="49" fontId="6" fillId="0" borderId="37" xfId="221" applyNumberFormat="1" applyFont="1" applyFill="1" applyBorder="1" applyAlignment="1">
      <alignment horizontal="center" vertical="center" wrapText="1"/>
      <protection/>
    </xf>
    <xf numFmtId="0" fontId="81" fillId="0" borderId="40" xfId="221" applyFont="1" applyFill="1" applyBorder="1" applyAlignment="1">
      <alignment horizontal="center" vertical="center" wrapText="1"/>
      <protection/>
    </xf>
    <xf numFmtId="0" fontId="81" fillId="0" borderId="25" xfId="221" applyFont="1" applyFill="1" applyBorder="1" applyAlignment="1">
      <alignment horizontal="center" vertical="center" wrapText="1"/>
      <protection/>
    </xf>
    <xf numFmtId="49" fontId="0" fillId="0" borderId="0" xfId="221" applyNumberFormat="1" applyFont="1" applyFill="1" applyAlignment="1">
      <alignment horizontal="left"/>
      <protection/>
    </xf>
    <xf numFmtId="49" fontId="18" fillId="0" borderId="0" xfId="221" applyNumberFormat="1" applyFont="1" applyFill="1" applyBorder="1" applyAlignment="1">
      <alignment horizontal="left"/>
      <protection/>
    </xf>
    <xf numFmtId="49" fontId="6" fillId="47" borderId="26" xfId="221" applyNumberFormat="1" applyFont="1" applyFill="1" applyBorder="1" applyAlignment="1">
      <alignment horizontal="center" vertical="center"/>
      <protection/>
    </xf>
    <xf numFmtId="49" fontId="6" fillId="47" borderId="25" xfId="221" applyNumberFormat="1" applyFont="1" applyFill="1" applyBorder="1" applyAlignment="1">
      <alignment horizontal="center" vertical="center"/>
      <protection/>
    </xf>
    <xf numFmtId="49" fontId="6" fillId="0" borderId="35" xfId="221" applyNumberFormat="1" applyFont="1" applyFill="1" applyBorder="1" applyAlignment="1">
      <alignment horizontal="center" vertical="center" wrapText="1"/>
      <protection/>
    </xf>
    <xf numFmtId="49" fontId="6" fillId="0" borderId="36" xfId="221" applyNumberFormat="1" applyFont="1" applyFill="1" applyBorder="1" applyAlignment="1">
      <alignment horizontal="center" vertical="center" wrapText="1"/>
      <protection/>
    </xf>
    <xf numFmtId="49" fontId="6" fillId="0" borderId="24" xfId="221" applyNumberFormat="1" applyFont="1" applyFill="1" applyBorder="1" applyAlignment="1">
      <alignment horizontal="center" vertical="center" wrapText="1"/>
      <protection/>
    </xf>
    <xf numFmtId="49" fontId="6" fillId="0" borderId="39" xfId="221" applyNumberFormat="1" applyFont="1" applyFill="1" applyBorder="1" applyAlignment="1">
      <alignment horizontal="center" vertical="center" wrapText="1"/>
      <protection/>
    </xf>
    <xf numFmtId="49" fontId="28" fillId="0" borderId="0" xfId="221" applyNumberFormat="1" applyFont="1" applyAlignment="1">
      <alignment horizontal="center"/>
      <protection/>
    </xf>
    <xf numFmtId="49" fontId="19" fillId="0" borderId="26" xfId="221" applyNumberFormat="1" applyFont="1" applyFill="1" applyBorder="1" applyAlignment="1">
      <alignment horizontal="center" vertical="center"/>
      <protection/>
    </xf>
    <xf numFmtId="49" fontId="19" fillId="0" borderId="25" xfId="221" applyNumberFormat="1" applyFont="1" applyFill="1" applyBorder="1" applyAlignment="1">
      <alignment horizontal="center" vertical="center"/>
      <protection/>
    </xf>
    <xf numFmtId="49" fontId="88" fillId="3" borderId="26" xfId="221" applyNumberFormat="1" applyFont="1" applyFill="1" applyBorder="1" applyAlignment="1">
      <alignment horizontal="center" vertical="center"/>
      <protection/>
    </xf>
    <xf numFmtId="49" fontId="88" fillId="3" borderId="25" xfId="221" applyNumberFormat="1" applyFont="1" applyFill="1" applyBorder="1" applyAlignment="1">
      <alignment horizontal="center" vertical="center"/>
      <protection/>
    </xf>
    <xf numFmtId="0" fontId="25" fillId="0" borderId="0" xfId="221" applyFont="1" applyAlignment="1">
      <alignment horizontal="center"/>
      <protection/>
    </xf>
    <xf numFmtId="0" fontId="7" fillId="0" borderId="20" xfId="221" applyFont="1" applyFill="1" applyBorder="1" applyAlignment="1">
      <alignment horizontal="center" vertical="center" wrapText="1"/>
      <protection/>
    </xf>
    <xf numFmtId="0" fontId="28" fillId="47" borderId="0" xfId="221" applyFont="1" applyFill="1" applyBorder="1" applyAlignment="1">
      <alignment horizontal="center"/>
      <protection/>
    </xf>
    <xf numFmtId="49" fontId="7" fillId="0" borderId="35" xfId="221" applyNumberFormat="1" applyFont="1" applyFill="1" applyBorder="1" applyAlignment="1">
      <alignment horizontal="center" vertical="center"/>
      <protection/>
    </xf>
    <xf numFmtId="49" fontId="7" fillId="0" borderId="36" xfId="221" applyNumberFormat="1" applyFont="1" applyFill="1" applyBorder="1" applyAlignment="1">
      <alignment horizontal="center" vertical="center"/>
      <protection/>
    </xf>
    <xf numFmtId="49" fontId="7" fillId="0" borderId="24" xfId="221" applyNumberFormat="1" applyFont="1" applyFill="1" applyBorder="1" applyAlignment="1">
      <alignment horizontal="center" vertical="center"/>
      <protection/>
    </xf>
    <xf numFmtId="49" fontId="7" fillId="0" borderId="39" xfId="221" applyNumberFormat="1" applyFont="1" applyFill="1" applyBorder="1" applyAlignment="1">
      <alignment horizontal="center" vertical="center"/>
      <protection/>
    </xf>
    <xf numFmtId="49" fontId="7" fillId="0" borderId="27" xfId="221" applyNumberFormat="1" applyFont="1" applyFill="1" applyBorder="1" applyAlignment="1">
      <alignment horizontal="center" vertical="center"/>
      <protection/>
    </xf>
    <xf numFmtId="49" fontId="7" fillId="0" borderId="37" xfId="221" applyNumberFormat="1" applyFont="1" applyFill="1" applyBorder="1" applyAlignment="1">
      <alignment horizontal="center" vertical="center"/>
      <protection/>
    </xf>
    <xf numFmtId="0" fontId="18" fillId="0" borderId="0" xfId="221" applyFont="1" applyBorder="1" applyAlignment="1">
      <alignment horizontal="left"/>
      <protection/>
    </xf>
    <xf numFmtId="0" fontId="13" fillId="0" borderId="0" xfId="221" applyFont="1" applyAlignment="1">
      <alignment horizontal="center"/>
      <protection/>
    </xf>
    <xf numFmtId="49" fontId="30" fillId="0" borderId="0" xfId="221" applyNumberFormat="1" applyFont="1" applyBorder="1" applyAlignment="1">
      <alignment horizontal="justify" vertical="justify" wrapText="1"/>
      <protection/>
    </xf>
    <xf numFmtId="0" fontId="14" fillId="0" borderId="0" xfId="221" applyNumberFormat="1" applyFont="1" applyAlignment="1">
      <alignment horizontal="center"/>
      <protection/>
    </xf>
    <xf numFmtId="0" fontId="32" fillId="0" borderId="0" xfId="221" applyNumberFormat="1" applyFont="1" applyAlignment="1">
      <alignment horizontal="center"/>
      <protection/>
    </xf>
    <xf numFmtId="0" fontId="23" fillId="0" borderId="0" xfId="221" applyNumberFormat="1" applyFont="1" applyAlignment="1">
      <alignment horizontal="center"/>
      <protection/>
    </xf>
    <xf numFmtId="49" fontId="25" fillId="47" borderId="41" xfId="0" applyNumberFormat="1" applyFont="1" applyFill="1" applyBorder="1" applyAlignment="1">
      <alignment horizontal="center" vertical="center"/>
    </xf>
    <xf numFmtId="49" fontId="25" fillId="47" borderId="42"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0"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63" fillId="50" borderId="20" xfId="0" applyNumberFormat="1" applyFont="1" applyFill="1" applyBorder="1" applyAlignment="1" applyProtection="1">
      <alignment horizontal="center" vertical="center" wrapText="1"/>
      <protection/>
    </xf>
    <xf numFmtId="49" fontId="163" fillId="50" borderId="20" xfId="0" applyNumberFormat="1" applyFont="1" applyFill="1" applyBorder="1" applyAlignment="1">
      <alignment horizontal="center" vertical="center" wrapText="1"/>
    </xf>
    <xf numFmtId="0" fontId="161" fillId="0" borderId="20" xfId="0" applyFont="1" applyBorder="1" applyAlignment="1">
      <alignment horizontal="center" vertical="center" wrapText="1"/>
    </xf>
    <xf numFmtId="0" fontId="161" fillId="0" borderId="20" xfId="0" applyFont="1" applyBorder="1" applyAlignment="1">
      <alignment horizontal="center" vertical="center"/>
    </xf>
    <xf numFmtId="0" fontId="163" fillId="0" borderId="20" xfId="0" applyFont="1" applyBorder="1" applyAlignment="1">
      <alignment horizontal="center" vertical="center" wrapText="1"/>
    </xf>
    <xf numFmtId="0" fontId="163" fillId="0" borderId="20" xfId="0" applyFont="1" applyBorder="1" applyAlignment="1">
      <alignment horizontal="center" vertical="center"/>
    </xf>
    <xf numFmtId="49" fontId="163" fillId="50" borderId="0" xfId="0" applyNumberFormat="1" applyFont="1" applyFill="1" applyBorder="1" applyAlignment="1" applyProtection="1">
      <alignment horizontal="center" vertical="center" wrapText="1"/>
      <protection/>
    </xf>
    <xf numFmtId="49" fontId="163" fillId="50" borderId="0" xfId="0" applyNumberFormat="1" applyFont="1" applyFill="1" applyBorder="1" applyAlignment="1">
      <alignment horizontal="center" vertical="center" wrapText="1"/>
    </xf>
    <xf numFmtId="49" fontId="4" fillId="50" borderId="0" xfId="0" applyNumberFormat="1" applyFont="1" applyFill="1" applyAlignment="1">
      <alignment horizontal="left"/>
    </xf>
    <xf numFmtId="0" fontId="3" fillId="50" borderId="0" xfId="0" applyNumberFormat="1" applyFont="1" applyFill="1" applyAlignment="1">
      <alignment horizontal="center"/>
    </xf>
    <xf numFmtId="0" fontId="7" fillId="50" borderId="0" xfId="0" applyNumberFormat="1" applyFont="1" applyFill="1" applyAlignment="1">
      <alignment horizontal="center" wrapText="1"/>
    </xf>
    <xf numFmtId="49" fontId="7" fillId="50" borderId="0" xfId="0" applyNumberFormat="1" applyFont="1" applyFill="1" applyAlignment="1">
      <alignment horizontal="center" wrapText="1"/>
    </xf>
    <xf numFmtId="49" fontId="3" fillId="50" borderId="0" xfId="0" applyNumberFormat="1" applyFont="1" applyFill="1" applyAlignment="1">
      <alignment horizontal="center"/>
    </xf>
    <xf numFmtId="49" fontId="168" fillId="50" borderId="26" xfId="0" applyNumberFormat="1" applyFont="1" applyFill="1" applyBorder="1" applyAlignment="1" applyProtection="1">
      <alignment horizontal="center" vertical="center" wrapText="1"/>
      <protection/>
    </xf>
    <xf numFmtId="49" fontId="168" fillId="50" borderId="25" xfId="0" applyNumberFormat="1" applyFont="1" applyFill="1" applyBorder="1" applyAlignment="1" applyProtection="1">
      <alignment horizontal="center" vertical="center" wrapText="1"/>
      <protection/>
    </xf>
    <xf numFmtId="49" fontId="14" fillId="50" borderId="0" xfId="0" applyNumberFormat="1" applyFont="1" applyFill="1" applyBorder="1" applyAlignment="1">
      <alignment horizontal="center" wrapText="1"/>
    </xf>
    <xf numFmtId="0" fontId="14" fillId="50" borderId="0" xfId="0" applyNumberFormat="1" applyFont="1" applyFill="1" applyBorder="1" applyAlignment="1">
      <alignment horizontal="center" vertical="center"/>
    </xf>
    <xf numFmtId="49" fontId="14" fillId="50" borderId="0" xfId="0" applyNumberFormat="1" applyFont="1" applyFill="1" applyBorder="1" applyAlignment="1">
      <alignment horizontal="center" vertical="center"/>
    </xf>
    <xf numFmtId="49" fontId="24" fillId="50" borderId="20" xfId="0" applyNumberFormat="1" applyFont="1" applyFill="1" applyBorder="1" applyAlignment="1">
      <alignment horizontal="center" vertical="center" wrapText="1"/>
    </xf>
    <xf numFmtId="49" fontId="24" fillId="50" borderId="21" xfId="0" applyNumberFormat="1" applyFont="1" applyFill="1" applyBorder="1" applyAlignment="1">
      <alignment horizontal="center" vertical="center" wrapText="1"/>
    </xf>
    <xf numFmtId="49" fontId="24" fillId="50" borderId="23" xfId="0" applyNumberFormat="1" applyFont="1" applyFill="1" applyBorder="1" applyAlignment="1">
      <alignment horizontal="center" vertical="center" wrapText="1"/>
    </xf>
    <xf numFmtId="49" fontId="24" fillId="50" borderId="20" xfId="0" applyNumberFormat="1" applyFont="1" applyFill="1" applyBorder="1" applyAlignment="1" applyProtection="1">
      <alignment horizontal="center" vertical="center" wrapText="1"/>
      <protection/>
    </xf>
    <xf numFmtId="49" fontId="177" fillId="50" borderId="26" xfId="0" applyNumberFormat="1" applyFont="1" applyFill="1" applyBorder="1" applyAlignment="1" applyProtection="1">
      <alignment horizontal="center" vertical="center" wrapText="1"/>
      <protection/>
    </xf>
    <xf numFmtId="49" fontId="177" fillId="50" borderId="25" xfId="0" applyNumberFormat="1" applyFont="1" applyFill="1" applyBorder="1" applyAlignment="1" applyProtection="1">
      <alignment horizontal="center" vertical="center" wrapText="1"/>
      <protection/>
    </xf>
    <xf numFmtId="0" fontId="23" fillId="50" borderId="19" xfId="0" applyNumberFormat="1" applyFont="1" applyFill="1" applyBorder="1" applyAlignment="1">
      <alignment horizontal="center" vertical="center"/>
    </xf>
    <xf numFmtId="49" fontId="24" fillId="50" borderId="35"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lignment horizontal="center" vertical="center" wrapText="1"/>
    </xf>
    <xf numFmtId="49" fontId="24" fillId="50" borderId="27" xfId="0" applyNumberFormat="1" applyFont="1" applyFill="1" applyBorder="1" applyAlignment="1">
      <alignment horizontal="center" vertical="center" wrapText="1"/>
    </xf>
    <xf numFmtId="49" fontId="24" fillId="50" borderId="37" xfId="0" applyNumberFormat="1" applyFont="1" applyFill="1" applyBorder="1" applyAlignment="1">
      <alignment horizontal="center" vertical="center" wrapText="1"/>
    </xf>
    <xf numFmtId="49" fontId="24" fillId="50" borderId="38" xfId="0" applyNumberFormat="1" applyFont="1" applyFill="1" applyBorder="1" applyAlignment="1">
      <alignment horizontal="center" vertical="center" wrapText="1"/>
    </xf>
    <xf numFmtId="49" fontId="24" fillId="50" borderId="19" xfId="0" applyNumberFormat="1" applyFont="1" applyFill="1" applyBorder="1" applyAlignment="1" applyProtection="1">
      <alignment horizontal="center" vertical="center" wrapText="1"/>
      <protection/>
    </xf>
    <xf numFmtId="49" fontId="24" fillId="50" borderId="36" xfId="0" applyNumberFormat="1" applyFont="1" applyFill="1" applyBorder="1" applyAlignment="1" applyProtection="1">
      <alignment horizontal="center" vertical="center" wrapText="1"/>
      <protection/>
    </xf>
    <xf numFmtId="49" fontId="24" fillId="50" borderId="39" xfId="0" applyNumberFormat="1" applyFont="1" applyFill="1" applyBorder="1" applyAlignment="1">
      <alignment horizontal="center" vertical="center" wrapText="1"/>
    </xf>
    <xf numFmtId="49" fontId="24" fillId="50" borderId="26" xfId="0" applyNumberFormat="1" applyFont="1" applyFill="1" applyBorder="1" applyAlignment="1" applyProtection="1">
      <alignment horizontal="center" vertical="center" wrapText="1"/>
      <protection/>
    </xf>
    <xf numFmtId="49" fontId="24" fillId="50" borderId="40" xfId="0" applyNumberFormat="1" applyFont="1" applyFill="1" applyBorder="1" applyAlignment="1" applyProtection="1">
      <alignment horizontal="center" vertical="center" wrapText="1"/>
      <protection/>
    </xf>
    <xf numFmtId="49" fontId="24" fillId="50" borderId="25" xfId="0" applyNumberFormat="1" applyFont="1" applyFill="1" applyBorder="1" applyAlignment="1" applyProtection="1">
      <alignment horizontal="center" vertical="center" wrapText="1"/>
      <protection/>
    </xf>
    <xf numFmtId="49" fontId="24" fillId="50" borderId="21" xfId="0" applyNumberFormat="1" applyFont="1" applyFill="1" applyBorder="1" applyAlignment="1" applyProtection="1">
      <alignment horizontal="center" vertical="center" wrapText="1"/>
      <protection/>
    </xf>
    <xf numFmtId="0" fontId="0" fillId="50" borderId="22" xfId="0" applyNumberFormat="1" applyFont="1" applyFill="1" applyBorder="1" applyAlignment="1">
      <alignment/>
    </xf>
    <xf numFmtId="0" fontId="12" fillId="50" borderId="35" xfId="0" applyNumberFormat="1" applyFont="1" applyFill="1" applyBorder="1" applyAlignment="1">
      <alignment horizontal="center" vertical="center" wrapText="1"/>
    </xf>
    <xf numFmtId="0" fontId="12" fillId="50" borderId="36" xfId="0" applyNumberFormat="1" applyFont="1" applyFill="1" applyBorder="1" applyAlignment="1">
      <alignment horizontal="center" vertical="center" wrapText="1"/>
    </xf>
    <xf numFmtId="0" fontId="12" fillId="50" borderId="24" xfId="0" applyNumberFormat="1" applyFont="1" applyFill="1" applyBorder="1" applyAlignment="1">
      <alignment horizontal="center" vertical="center" wrapText="1"/>
    </xf>
    <xf numFmtId="0" fontId="12" fillId="50" borderId="39" xfId="0" applyNumberFormat="1" applyFont="1" applyFill="1" applyBorder="1" applyAlignment="1">
      <alignment horizontal="center" vertical="center" wrapText="1"/>
    </xf>
    <xf numFmtId="0" fontId="12" fillId="50" borderId="27" xfId="0" applyNumberFormat="1" applyFont="1" applyFill="1" applyBorder="1" applyAlignment="1">
      <alignment horizontal="center" vertical="center" wrapText="1"/>
    </xf>
    <xf numFmtId="0" fontId="12" fillId="50" borderId="37" xfId="0" applyNumberFormat="1" applyFont="1" applyFill="1" applyBorder="1" applyAlignment="1">
      <alignment horizontal="center" vertical="center" wrapText="1"/>
    </xf>
    <xf numFmtId="49" fontId="12" fillId="50" borderId="26" xfId="0" applyNumberFormat="1" applyFont="1" applyFill="1" applyBorder="1" applyAlignment="1" applyProtection="1">
      <alignment horizontal="center" vertical="center" wrapText="1"/>
      <protection/>
    </xf>
    <xf numFmtId="49" fontId="12" fillId="50" borderId="40" xfId="0" applyNumberFormat="1" applyFont="1" applyFill="1" applyBorder="1" applyAlignment="1">
      <alignment horizontal="center" vertical="center" wrapText="1"/>
    </xf>
    <xf numFmtId="49" fontId="12" fillId="50" borderId="25" xfId="0" applyNumberFormat="1" applyFont="1" applyFill="1" applyBorder="1" applyAlignment="1">
      <alignment horizontal="center" vertical="center" wrapText="1"/>
    </xf>
    <xf numFmtId="49" fontId="24" fillId="50" borderId="35" xfId="0" applyNumberFormat="1" applyFont="1" applyFill="1" applyBorder="1" applyAlignment="1">
      <alignment horizontal="center" vertical="center" wrapText="1"/>
    </xf>
    <xf numFmtId="49" fontId="24" fillId="50" borderId="24" xfId="0" applyNumberFormat="1" applyFont="1" applyFill="1" applyBorder="1" applyAlignment="1">
      <alignment horizontal="center" vertical="center" wrapText="1"/>
    </xf>
    <xf numFmtId="1" fontId="12" fillId="50" borderId="26" xfId="0" applyNumberFormat="1" applyFont="1" applyFill="1" applyBorder="1" applyAlignment="1">
      <alignment horizontal="center" vertical="center"/>
    </xf>
    <xf numFmtId="1" fontId="12" fillId="50" borderId="40" xfId="0" applyNumberFormat="1" applyFont="1" applyFill="1" applyBorder="1" applyAlignment="1">
      <alignment horizontal="center" vertical="center"/>
    </xf>
    <xf numFmtId="1" fontId="12" fillId="50" borderId="25" xfId="0" applyNumberFormat="1" applyFont="1" applyFill="1" applyBorder="1" applyAlignment="1">
      <alignment horizontal="center" vertical="center"/>
    </xf>
    <xf numFmtId="0" fontId="0" fillId="50" borderId="0" xfId="0" applyNumberFormat="1" applyFont="1" applyFill="1" applyBorder="1" applyAlignment="1">
      <alignment wrapText="1"/>
    </xf>
    <xf numFmtId="49" fontId="14"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4" fillId="50" borderId="0" xfId="0" applyNumberFormat="1" applyFont="1" applyFill="1" applyAlignment="1">
      <alignment horizontal="center" wrapText="1"/>
    </xf>
    <xf numFmtId="3" fontId="15" fillId="50" borderId="0" xfId="0" applyNumberFormat="1" applyFont="1" applyFill="1" applyAlignment="1">
      <alignment horizontal="center"/>
    </xf>
    <xf numFmtId="3" fontId="18" fillId="50" borderId="19" xfId="0" applyNumberFormat="1" applyFont="1" applyFill="1" applyBorder="1" applyAlignment="1">
      <alignment horizontal="center" vertical="center"/>
    </xf>
    <xf numFmtId="0" fontId="4" fillId="50" borderId="0" xfId="0" applyNumberFormat="1" applyFont="1" applyFill="1" applyAlignment="1">
      <alignment horizontal="left"/>
    </xf>
    <xf numFmtId="49" fontId="105" fillId="50" borderId="20" xfId="0" applyNumberFormat="1" applyFont="1" applyFill="1" applyBorder="1" applyAlignment="1" applyProtection="1">
      <alignment horizontal="center" vertical="center" wrapText="1"/>
      <protection/>
    </xf>
    <xf numFmtId="49" fontId="105" fillId="50" borderId="25" xfId="0" applyNumberFormat="1" applyFont="1" applyFill="1" applyBorder="1" applyAlignment="1" applyProtection="1">
      <alignment horizontal="center" vertical="center" wrapText="1"/>
      <protection/>
    </xf>
    <xf numFmtId="49" fontId="105" fillId="50" borderId="35" xfId="0" applyNumberFormat="1" applyFont="1" applyFill="1" applyBorder="1" applyAlignment="1">
      <alignment horizontal="center" vertical="center" wrapText="1"/>
    </xf>
    <xf numFmtId="49" fontId="105" fillId="50" borderId="24" xfId="0" applyNumberFormat="1" applyFont="1" applyFill="1" applyBorder="1" applyAlignment="1">
      <alignment horizontal="center" vertical="center" wrapText="1"/>
    </xf>
    <xf numFmtId="49" fontId="105" fillId="50" borderId="27" xfId="0" applyNumberFormat="1" applyFont="1" applyFill="1" applyBorder="1" applyAlignment="1">
      <alignment horizontal="center" vertical="center" wrapText="1"/>
    </xf>
    <xf numFmtId="0" fontId="14" fillId="50" borderId="0" xfId="0" applyNumberFormat="1" applyFont="1" applyFill="1" applyBorder="1" applyAlignment="1">
      <alignment horizontal="center" wrapText="1"/>
    </xf>
    <xf numFmtId="49" fontId="105" fillId="50" borderId="20" xfId="0" applyNumberFormat="1" applyFont="1" applyFill="1" applyBorder="1" applyAlignment="1">
      <alignment horizontal="center" vertical="center" wrapText="1"/>
    </xf>
    <xf numFmtId="0" fontId="105" fillId="0" borderId="20" xfId="0" applyFont="1" applyBorder="1" applyAlignment="1">
      <alignment horizontal="center" vertical="center" wrapText="1"/>
    </xf>
    <xf numFmtId="0" fontId="105" fillId="0" borderId="20" xfId="0" applyFont="1" applyBorder="1" applyAlignment="1">
      <alignment horizontal="center" vertical="center"/>
    </xf>
    <xf numFmtId="0" fontId="110" fillId="50" borderId="20" xfId="0" applyNumberFormat="1" applyFont="1" applyFill="1" applyBorder="1" applyAlignment="1">
      <alignment horizontal="center" vertical="center" wrapText="1"/>
    </xf>
    <xf numFmtId="49" fontId="105" fillId="50" borderId="21" xfId="0" applyNumberFormat="1" applyFont="1" applyFill="1" applyBorder="1" applyAlignment="1">
      <alignment horizontal="center" vertical="center" wrapText="1"/>
    </xf>
    <xf numFmtId="49" fontId="105" fillId="50" borderId="23" xfId="0" applyNumberFormat="1" applyFont="1" applyFill="1" applyBorder="1" applyAlignment="1">
      <alignment horizontal="center" vertical="center" wrapText="1"/>
    </xf>
    <xf numFmtId="49" fontId="105" fillId="50" borderId="38" xfId="0" applyNumberFormat="1" applyFont="1" applyFill="1" applyBorder="1" applyAlignment="1">
      <alignment horizontal="center" vertical="center" wrapText="1"/>
    </xf>
    <xf numFmtId="49" fontId="178" fillId="50" borderId="20" xfId="0" applyNumberFormat="1" applyFont="1" applyFill="1" applyBorder="1" applyAlignment="1" applyProtection="1">
      <alignment horizontal="center" vertical="center" wrapText="1"/>
      <protection/>
    </xf>
    <xf numFmtId="49" fontId="110" fillId="50" borderId="26" xfId="0" applyNumberFormat="1" applyFont="1" applyFill="1" applyBorder="1" applyAlignment="1" applyProtection="1">
      <alignment horizontal="center" vertical="center" wrapText="1"/>
      <protection/>
    </xf>
    <xf numFmtId="49" fontId="110" fillId="50" borderId="40" xfId="0" applyNumberFormat="1" applyFont="1" applyFill="1" applyBorder="1" applyAlignment="1">
      <alignment horizontal="center" vertical="center" wrapText="1"/>
    </xf>
    <xf numFmtId="49" fontId="110" fillId="50" borderId="25" xfId="0" applyNumberFormat="1" applyFont="1" applyFill="1" applyBorder="1" applyAlignment="1">
      <alignment horizontal="center" vertical="center" wrapText="1"/>
    </xf>
    <xf numFmtId="49" fontId="105" fillId="50" borderId="36" xfId="0" applyNumberFormat="1" applyFont="1" applyFill="1" applyBorder="1" applyAlignment="1">
      <alignment horizontal="center" vertical="center" wrapText="1"/>
    </xf>
    <xf numFmtId="49" fontId="105" fillId="50" borderId="39" xfId="0" applyNumberFormat="1" applyFont="1" applyFill="1" applyBorder="1" applyAlignment="1">
      <alignment horizontal="center" vertical="center" wrapText="1"/>
    </xf>
    <xf numFmtId="49" fontId="105" fillId="50" borderId="37" xfId="0" applyNumberFormat="1" applyFont="1" applyFill="1" applyBorder="1" applyAlignment="1">
      <alignment horizontal="center" vertical="center" wrapText="1"/>
    </xf>
    <xf numFmtId="49" fontId="105" fillId="50" borderId="21" xfId="0" applyNumberFormat="1" applyFont="1" applyFill="1" applyBorder="1" applyAlignment="1" applyProtection="1">
      <alignment horizontal="center" vertical="center" wrapText="1"/>
      <protection/>
    </xf>
    <xf numFmtId="49" fontId="105" fillId="50" borderId="35" xfId="0" applyNumberFormat="1" applyFont="1" applyFill="1" applyBorder="1" applyAlignment="1" applyProtection="1">
      <alignment horizontal="center" vertical="center" wrapText="1"/>
      <protection/>
    </xf>
    <xf numFmtId="49" fontId="105" fillId="50" borderId="19" xfId="0" applyNumberFormat="1" applyFont="1" applyFill="1" applyBorder="1" applyAlignment="1" applyProtection="1">
      <alignment horizontal="center" vertical="center" wrapText="1"/>
      <protection/>
    </xf>
    <xf numFmtId="49" fontId="105" fillId="50" borderId="36" xfId="0" applyNumberFormat="1" applyFont="1" applyFill="1" applyBorder="1" applyAlignment="1" applyProtection="1">
      <alignment horizontal="center" vertical="center" wrapText="1"/>
      <protection/>
    </xf>
    <xf numFmtId="1" fontId="110" fillId="50" borderId="26" xfId="0" applyNumberFormat="1" applyFont="1" applyFill="1" applyBorder="1" applyAlignment="1">
      <alignment horizontal="center" vertical="center"/>
    </xf>
    <xf numFmtId="1" fontId="110" fillId="50" borderId="40" xfId="0" applyNumberFormat="1" applyFont="1" applyFill="1" applyBorder="1" applyAlignment="1">
      <alignment horizontal="center" vertical="center"/>
    </xf>
    <xf numFmtId="1" fontId="110" fillId="50" borderId="25" xfId="0" applyNumberFormat="1" applyFont="1" applyFill="1" applyBorder="1" applyAlignment="1">
      <alignment horizontal="center" vertical="center"/>
    </xf>
    <xf numFmtId="49" fontId="0" fillId="50" borderId="0" xfId="0" applyNumberFormat="1" applyFont="1" applyFill="1" applyBorder="1" applyAlignment="1">
      <alignment/>
    </xf>
    <xf numFmtId="49" fontId="105" fillId="50" borderId="26" xfId="0" applyNumberFormat="1" applyFont="1" applyFill="1" applyBorder="1" applyAlignment="1" applyProtection="1">
      <alignment horizontal="center" vertical="center" wrapText="1"/>
      <protection/>
    </xf>
    <xf numFmtId="49" fontId="105" fillId="50" borderId="40"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wrapText="1"/>
    </xf>
    <xf numFmtId="49" fontId="18" fillId="50" borderId="22" xfId="0" applyNumberFormat="1" applyFont="1" applyFill="1" applyBorder="1" applyAlignment="1">
      <alignment/>
    </xf>
    <xf numFmtId="0" fontId="15" fillId="50" borderId="0" xfId="0" applyNumberFormat="1" applyFont="1" applyFill="1" applyAlignment="1">
      <alignment horizontal="center"/>
    </xf>
    <xf numFmtId="49" fontId="4" fillId="0" borderId="0" xfId="0" applyNumberFormat="1" applyFont="1" applyFill="1" applyAlignment="1">
      <alignment horizontal="left"/>
    </xf>
    <xf numFmtId="49" fontId="100" fillId="0" borderId="20" xfId="0" applyNumberFormat="1" applyFont="1" applyFill="1" applyBorder="1" applyAlignment="1" applyProtection="1">
      <alignment horizontal="center" vertical="center" wrapText="1"/>
      <protection/>
    </xf>
    <xf numFmtId="49" fontId="100" fillId="0" borderId="20" xfId="0" applyNumberFormat="1" applyFont="1" applyFill="1" applyBorder="1" applyAlignment="1">
      <alignment horizontal="center" vertical="center" wrapText="1"/>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0" fontId="100" fillId="0" borderId="20" xfId="208" applyFont="1" applyFill="1" applyBorder="1" applyAlignment="1">
      <alignment horizontal="center" vertical="center" wrapText="1"/>
      <protection/>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1" fontId="100" fillId="0" borderId="20" xfId="0" applyNumberFormat="1" applyFont="1" applyFill="1" applyBorder="1" applyAlignment="1">
      <alignment horizontal="center" vertical="center"/>
    </xf>
    <xf numFmtId="0" fontId="25" fillId="0" borderId="0" xfId="0" applyNumberFormat="1" applyFont="1" applyFill="1" applyAlignment="1">
      <alignment horizontal="center"/>
    </xf>
    <xf numFmtId="0" fontId="25" fillId="0" borderId="0" xfId="0" applyNumberFormat="1" applyFont="1" applyFill="1" applyBorder="1" applyAlignment="1">
      <alignment horizontal="center" vertical="center"/>
    </xf>
    <xf numFmtId="49" fontId="170" fillId="50" borderId="26" xfId="0" applyNumberFormat="1" applyFont="1" applyFill="1" applyBorder="1" applyAlignment="1" applyProtection="1">
      <alignment horizontal="center" vertical="center" wrapText="1"/>
      <protection/>
    </xf>
    <xf numFmtId="49" fontId="170" fillId="50" borderId="40" xfId="0" applyNumberFormat="1" applyFont="1" applyFill="1" applyBorder="1" applyAlignment="1" applyProtection="1">
      <alignment horizontal="center" vertical="center" wrapText="1"/>
      <protection/>
    </xf>
    <xf numFmtId="0" fontId="100" fillId="0" borderId="20" xfId="0" applyNumberFormat="1" applyFont="1" applyFill="1" applyBorder="1" applyAlignment="1">
      <alignment horizontal="center" vertical="center" wrapText="1"/>
    </xf>
    <xf numFmtId="49" fontId="108" fillId="0" borderId="20" xfId="0" applyNumberFormat="1" applyFont="1" applyFill="1" applyBorder="1" applyAlignment="1" applyProtection="1">
      <alignment horizontal="center" vertical="center" wrapText="1"/>
      <protection/>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49" fontId="161" fillId="50" borderId="20"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105" fillId="0" borderId="20"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lignment horizontal="center" vertical="center" wrapText="1"/>
    </xf>
    <xf numFmtId="0" fontId="105" fillId="0" borderId="20" xfId="0" applyNumberFormat="1" applyFont="1" applyFill="1" applyBorder="1" applyAlignment="1">
      <alignment horizontal="center" vertical="center" wrapText="1"/>
    </xf>
    <xf numFmtId="49" fontId="106" fillId="0" borderId="43" xfId="0" applyNumberFormat="1" applyFont="1" applyFill="1" applyBorder="1" applyAlignment="1" applyProtection="1">
      <alignment horizontal="center" vertical="center" wrapText="1"/>
      <protection/>
    </xf>
    <xf numFmtId="49" fontId="106" fillId="0" borderId="20" xfId="0" applyNumberFormat="1" applyFont="1" applyFill="1" applyBorder="1" applyAlignment="1" applyProtection="1">
      <alignment horizontal="center" vertical="center" wrapText="1"/>
      <protection/>
    </xf>
    <xf numFmtId="49" fontId="18" fillId="0" borderId="0" xfId="0" applyNumberFormat="1" applyFont="1" applyFill="1" applyBorder="1" applyAlignment="1">
      <alignment horizontal="center"/>
    </xf>
    <xf numFmtId="1" fontId="105" fillId="0" borderId="20" xfId="0" applyNumberFormat="1" applyFont="1" applyFill="1" applyBorder="1" applyAlignment="1">
      <alignment horizontal="center" vertical="center"/>
    </xf>
  </cellXfs>
  <cellStyles count="242">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1 2 2" xfId="77"/>
    <cellStyle name="60% - Accent1 3" xfId="78"/>
    <cellStyle name="60% - Accent1 3 2" xfId="79"/>
    <cellStyle name="60% - Accent2" xfId="80"/>
    <cellStyle name="60% - Accent2 2" xfId="81"/>
    <cellStyle name="60% - Accent2 2 2" xfId="82"/>
    <cellStyle name="60% - Accent2 3" xfId="83"/>
    <cellStyle name="60% - Accent2 3 2" xfId="84"/>
    <cellStyle name="60% - Accent3" xfId="85"/>
    <cellStyle name="60% - Accent3 2" xfId="86"/>
    <cellStyle name="60% - Accent3 2 2" xfId="87"/>
    <cellStyle name="60% - Accent3 3" xfId="88"/>
    <cellStyle name="60% - Accent3 3 2" xfId="89"/>
    <cellStyle name="60% - Accent4" xfId="90"/>
    <cellStyle name="60% - Accent4 2" xfId="91"/>
    <cellStyle name="60% - Accent4 2 2" xfId="92"/>
    <cellStyle name="60% - Accent4 3" xfId="93"/>
    <cellStyle name="60% - Accent4 3 2" xfId="94"/>
    <cellStyle name="60% - Accent5" xfId="95"/>
    <cellStyle name="60% - Accent5 2" xfId="96"/>
    <cellStyle name="60% - Accent5 2 2" xfId="97"/>
    <cellStyle name="60% - Accent5 3" xfId="98"/>
    <cellStyle name="60% - Accent5 3 2" xfId="99"/>
    <cellStyle name="60% - Accent6" xfId="100"/>
    <cellStyle name="60% - Accent6 2" xfId="101"/>
    <cellStyle name="60% - Accent6 2 2" xfId="102"/>
    <cellStyle name="60% - Accent6 3" xfId="103"/>
    <cellStyle name="60% - Accent6 3 2" xfId="104"/>
    <cellStyle name="Accent1" xfId="105"/>
    <cellStyle name="Accent1 2" xfId="106"/>
    <cellStyle name="Accent1 2 2" xfId="107"/>
    <cellStyle name="Accent1 3" xfId="108"/>
    <cellStyle name="Accent1 3 2" xfId="109"/>
    <cellStyle name="Accent2" xfId="110"/>
    <cellStyle name="Accent2 2" xfId="111"/>
    <cellStyle name="Accent2 2 2" xfId="112"/>
    <cellStyle name="Accent2 3" xfId="113"/>
    <cellStyle name="Accent2 3 2" xfId="114"/>
    <cellStyle name="Accent3" xfId="115"/>
    <cellStyle name="Accent3 2" xfId="116"/>
    <cellStyle name="Accent3 2 2" xfId="117"/>
    <cellStyle name="Accent3 3" xfId="118"/>
    <cellStyle name="Accent3 3 2" xfId="119"/>
    <cellStyle name="Accent4" xfId="120"/>
    <cellStyle name="Accent4 2" xfId="121"/>
    <cellStyle name="Accent4 2 2" xfId="122"/>
    <cellStyle name="Accent4 3" xfId="123"/>
    <cellStyle name="Accent4 3 2" xfId="124"/>
    <cellStyle name="Accent5" xfId="125"/>
    <cellStyle name="Accent5 2" xfId="126"/>
    <cellStyle name="Accent5 2 2" xfId="127"/>
    <cellStyle name="Accent5 3" xfId="128"/>
    <cellStyle name="Accent5 3 2" xfId="129"/>
    <cellStyle name="Accent6" xfId="130"/>
    <cellStyle name="Accent6 2" xfId="131"/>
    <cellStyle name="Accent6 2 2" xfId="132"/>
    <cellStyle name="Accent6 3" xfId="133"/>
    <cellStyle name="Accent6 3 2" xfId="134"/>
    <cellStyle name="Bad" xfId="135"/>
    <cellStyle name="Bad 2" xfId="136"/>
    <cellStyle name="Bad 2 2" xfId="137"/>
    <cellStyle name="Bad 3" xfId="138"/>
    <cellStyle name="Bad 3 2" xfId="139"/>
    <cellStyle name="Calculation" xfId="140"/>
    <cellStyle name="Calculation 2" xfId="141"/>
    <cellStyle name="Calculation 2 2" xfId="142"/>
    <cellStyle name="Calculation 3" xfId="143"/>
    <cellStyle name="Calculation 3 2" xfId="144"/>
    <cellStyle name="Check Cell" xfId="145"/>
    <cellStyle name="Check Cell 2" xfId="146"/>
    <cellStyle name="Check Cell 2 2" xfId="147"/>
    <cellStyle name="Check Cell 3" xfId="148"/>
    <cellStyle name="Check Cell 3 2" xfId="149"/>
    <cellStyle name="Comma" xfId="150"/>
    <cellStyle name="Comma [0]" xfId="151"/>
    <cellStyle name="Comma 2" xfId="152"/>
    <cellStyle name="Comma 2 2" xfId="153"/>
    <cellStyle name="Comma 2 3" xfId="154"/>
    <cellStyle name="Comma 3" xfId="155"/>
    <cellStyle name="Comma 4" xfId="156"/>
    <cellStyle name="Comma 5" xfId="157"/>
    <cellStyle name="Currency" xfId="158"/>
    <cellStyle name="Currency [0]" xfId="159"/>
    <cellStyle name="Explanatory Text" xfId="160"/>
    <cellStyle name="Explanatory Text 2" xfId="161"/>
    <cellStyle name="Explanatory Text 2 2" xfId="162"/>
    <cellStyle name="Explanatory Text 3" xfId="163"/>
    <cellStyle name="Explanatory Text 3 2" xfId="164"/>
    <cellStyle name="Followed Hyperlink" xfId="165"/>
    <cellStyle name="Good" xfId="166"/>
    <cellStyle name="Good 2" xfId="167"/>
    <cellStyle name="Good 2 2" xfId="168"/>
    <cellStyle name="Good 3" xfId="169"/>
    <cellStyle name="Good 3 2" xfId="170"/>
    <cellStyle name="Heading 1" xfId="171"/>
    <cellStyle name="Heading 1 2" xfId="172"/>
    <cellStyle name="Heading 1 2 2" xfId="173"/>
    <cellStyle name="Heading 1 3" xfId="174"/>
    <cellStyle name="Heading 1 3 2" xfId="175"/>
    <cellStyle name="Heading 2" xfId="176"/>
    <cellStyle name="Heading 2 2" xfId="177"/>
    <cellStyle name="Heading 2 2 2" xfId="178"/>
    <cellStyle name="Heading 2 3" xfId="179"/>
    <cellStyle name="Heading 2 3 2" xfId="180"/>
    <cellStyle name="Heading 3" xfId="181"/>
    <cellStyle name="Heading 3 2" xfId="182"/>
    <cellStyle name="Heading 3 2 2" xfId="183"/>
    <cellStyle name="Heading 3 3" xfId="184"/>
    <cellStyle name="Heading 3 3 2" xfId="185"/>
    <cellStyle name="Heading 4" xfId="186"/>
    <cellStyle name="Heading 4 2" xfId="187"/>
    <cellStyle name="Heading 4 2 2" xfId="188"/>
    <cellStyle name="Heading 4 3" xfId="189"/>
    <cellStyle name="Heading 4 3 2" xfId="190"/>
    <cellStyle name="Hyperlink" xfId="191"/>
    <cellStyle name="Input" xfId="192"/>
    <cellStyle name="Input 2" xfId="193"/>
    <cellStyle name="Input 2 2" xfId="194"/>
    <cellStyle name="Input 3" xfId="195"/>
    <cellStyle name="Input 3 2" xfId="196"/>
    <cellStyle name="Linked Cell" xfId="197"/>
    <cellStyle name="Linked Cell 2" xfId="198"/>
    <cellStyle name="Linked Cell 2 2" xfId="199"/>
    <cellStyle name="Linked Cell 3" xfId="200"/>
    <cellStyle name="Linked Cell 3 2" xfId="201"/>
    <cellStyle name="Neutral" xfId="202"/>
    <cellStyle name="Neutral 2" xfId="203"/>
    <cellStyle name="Neutral 2 2" xfId="204"/>
    <cellStyle name="Neutral 3" xfId="205"/>
    <cellStyle name="Neutral 3 2" xfId="206"/>
    <cellStyle name="Normal 2" xfId="207"/>
    <cellStyle name="Normal 2 2" xfId="208"/>
    <cellStyle name="Normal 2 3" xfId="209"/>
    <cellStyle name="Normal 3" xfId="210"/>
    <cellStyle name="Normal 3 2" xfId="211"/>
    <cellStyle name="Normal 4" xfId="212"/>
    <cellStyle name="Normal 4 2" xfId="213"/>
    <cellStyle name="Normal 5" xfId="214"/>
    <cellStyle name="Normal 5 2" xfId="215"/>
    <cellStyle name="Normal 6" xfId="216"/>
    <cellStyle name="Normal_1. (Goc) THONG KE TT01 Toàn tỉnh Hoa Binh 6 tháng 2013" xfId="217"/>
    <cellStyle name="Normal_1. (Goc) THONG KE TT01 Toàn tỉnh Hoa Binh 6 tháng 2013 2" xfId="218"/>
    <cellStyle name="Normal_19 bieu m nhapcong thuc da sao 11 don vi " xfId="219"/>
    <cellStyle name="Normal_Bieu 8 - Bieu 19 toan tinh" xfId="220"/>
    <cellStyle name="Normal_Bieu mau TK tu 11 den 19 (ban phat hanh)" xfId="221"/>
    <cellStyle name="Note" xfId="222"/>
    <cellStyle name="Note 2" xfId="223"/>
    <cellStyle name="Note 2 2" xfId="224"/>
    <cellStyle name="Note 3" xfId="225"/>
    <cellStyle name="Note 3 2" xfId="226"/>
    <cellStyle name="Output" xfId="227"/>
    <cellStyle name="Output 2" xfId="228"/>
    <cellStyle name="Output 2 2" xfId="229"/>
    <cellStyle name="Output 3" xfId="230"/>
    <cellStyle name="Output 3 2" xfId="231"/>
    <cellStyle name="Percent" xfId="232"/>
    <cellStyle name="Percent 2" xfId="233"/>
    <cellStyle name="Percent 2 2" xfId="234"/>
    <cellStyle name="Percent 2 2 2" xfId="235"/>
    <cellStyle name="Percent 2 3" xfId="236"/>
    <cellStyle name="Percent 3" xfId="237"/>
    <cellStyle name="Percent 3 2" xfId="238"/>
    <cellStyle name="Percent 4" xfId="239"/>
    <cellStyle name="Percent 5" xfId="240"/>
    <cellStyle name="Title" xfId="241"/>
    <cellStyle name="Title 2" xfId="242"/>
    <cellStyle name="Title 2 2" xfId="243"/>
    <cellStyle name="Title 3" xfId="244"/>
    <cellStyle name="Title 3 2" xfId="245"/>
    <cellStyle name="Total" xfId="246"/>
    <cellStyle name="Total 2" xfId="247"/>
    <cellStyle name="Total 2 2" xfId="248"/>
    <cellStyle name="Total 3" xfId="249"/>
    <cellStyle name="Total 3 2" xfId="250"/>
    <cellStyle name="Warning Text" xfId="251"/>
    <cellStyle name="Warning Text 2" xfId="252"/>
    <cellStyle name="Warning Text 2 2" xfId="253"/>
    <cellStyle name="Warning Text 3" xfId="254"/>
    <cellStyle name="Warning Text 3 2" xfId="2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076325"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7334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049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81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35" t="s">
        <v>26</v>
      </c>
      <c r="B1" s="635"/>
      <c r="C1" s="632" t="s">
        <v>74</v>
      </c>
      <c r="D1" s="632"/>
      <c r="E1" s="632"/>
      <c r="F1" s="636" t="s">
        <v>70</v>
      </c>
      <c r="G1" s="636"/>
      <c r="H1" s="636"/>
    </row>
    <row r="2" spans="1:8" ht="33.75" customHeight="1">
      <c r="A2" s="637" t="s">
        <v>77</v>
      </c>
      <c r="B2" s="637"/>
      <c r="C2" s="632"/>
      <c r="D2" s="632"/>
      <c r="E2" s="632"/>
      <c r="F2" s="629" t="s">
        <v>71</v>
      </c>
      <c r="G2" s="629"/>
      <c r="H2" s="629"/>
    </row>
    <row r="3" spans="1:8" ht="19.5" customHeight="1">
      <c r="A3" s="6" t="s">
        <v>65</v>
      </c>
      <c r="B3" s="6"/>
      <c r="C3" s="24"/>
      <c r="D3" s="24"/>
      <c r="E3" s="24"/>
      <c r="F3" s="629" t="s">
        <v>72</v>
      </c>
      <c r="G3" s="629"/>
      <c r="H3" s="629"/>
    </row>
    <row r="4" spans="1:8" s="7" customFormat="1" ht="19.5" customHeight="1">
      <c r="A4" s="6"/>
      <c r="B4" s="6"/>
      <c r="D4" s="8"/>
      <c r="F4" s="9" t="s">
        <v>73</v>
      </c>
      <c r="G4" s="9"/>
      <c r="H4" s="9"/>
    </row>
    <row r="5" spans="1:8" s="23" customFormat="1" ht="36" customHeight="1">
      <c r="A5" s="648" t="s">
        <v>57</v>
      </c>
      <c r="B5" s="649"/>
      <c r="C5" s="652" t="s">
        <v>68</v>
      </c>
      <c r="D5" s="653"/>
      <c r="E5" s="654" t="s">
        <v>67</v>
      </c>
      <c r="F5" s="654"/>
      <c r="G5" s="654"/>
      <c r="H5" s="631"/>
    </row>
    <row r="6" spans="1:8" s="23" customFormat="1" ht="20.25" customHeight="1">
      <c r="A6" s="650"/>
      <c r="B6" s="651"/>
      <c r="C6" s="633" t="s">
        <v>3</v>
      </c>
      <c r="D6" s="633" t="s">
        <v>75</v>
      </c>
      <c r="E6" s="630" t="s">
        <v>69</v>
      </c>
      <c r="F6" s="631"/>
      <c r="G6" s="630" t="s">
        <v>76</v>
      </c>
      <c r="H6" s="631"/>
    </row>
    <row r="7" spans="1:8" s="23" customFormat="1" ht="52.5" customHeight="1">
      <c r="A7" s="650"/>
      <c r="B7" s="651"/>
      <c r="C7" s="634"/>
      <c r="D7" s="634"/>
      <c r="E7" s="5" t="s">
        <v>3</v>
      </c>
      <c r="F7" s="5" t="s">
        <v>9</v>
      </c>
      <c r="G7" s="5" t="s">
        <v>3</v>
      </c>
      <c r="H7" s="5" t="s">
        <v>9</v>
      </c>
    </row>
    <row r="8" spans="1:8" ht="15" customHeight="1">
      <c r="A8" s="639" t="s">
        <v>6</v>
      </c>
      <c r="B8" s="640"/>
      <c r="C8" s="10">
        <v>1</v>
      </c>
      <c r="D8" s="10" t="s">
        <v>44</v>
      </c>
      <c r="E8" s="10" t="s">
        <v>49</v>
      </c>
      <c r="F8" s="10" t="s">
        <v>58</v>
      </c>
      <c r="G8" s="10" t="s">
        <v>59</v>
      </c>
      <c r="H8" s="10" t="s">
        <v>60</v>
      </c>
    </row>
    <row r="9" spans="1:8" ht="26.25" customHeight="1">
      <c r="A9" s="641" t="s">
        <v>33</v>
      </c>
      <c r="B9" s="64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43" t="s">
        <v>56</v>
      </c>
      <c r="C16" s="643"/>
      <c r="D16" s="26"/>
      <c r="E16" s="645" t="s">
        <v>19</v>
      </c>
      <c r="F16" s="645"/>
      <c r="G16" s="645"/>
      <c r="H16" s="645"/>
    </row>
    <row r="17" spans="2:8" ht="15.75" customHeight="1">
      <c r="B17" s="643"/>
      <c r="C17" s="643"/>
      <c r="D17" s="26"/>
      <c r="E17" s="646" t="s">
        <v>38</v>
      </c>
      <c r="F17" s="646"/>
      <c r="G17" s="646"/>
      <c r="H17" s="646"/>
    </row>
    <row r="18" spans="2:8" s="27" customFormat="1" ht="15.75" customHeight="1">
      <c r="B18" s="643"/>
      <c r="C18" s="643"/>
      <c r="D18" s="28"/>
      <c r="E18" s="647" t="s">
        <v>55</v>
      </c>
      <c r="F18" s="647"/>
      <c r="G18" s="647"/>
      <c r="H18" s="647"/>
    </row>
    <row r="20" ht="15.75">
      <c r="B20" s="19"/>
    </row>
    <row r="22" ht="15.75" hidden="1">
      <c r="A22" s="20" t="s">
        <v>41</v>
      </c>
    </row>
    <row r="23" spans="1:3" ht="15.75" hidden="1">
      <c r="A23" s="21"/>
      <c r="B23" s="644" t="s">
        <v>50</v>
      </c>
      <c r="C23" s="644"/>
    </row>
    <row r="24" spans="1:8" ht="15.75" customHeight="1" hidden="1">
      <c r="A24" s="22" t="s">
        <v>25</v>
      </c>
      <c r="B24" s="638" t="s">
        <v>53</v>
      </c>
      <c r="C24" s="638"/>
      <c r="D24" s="22"/>
      <c r="E24" s="22"/>
      <c r="F24" s="22"/>
      <c r="G24" s="22"/>
      <c r="H24" s="22"/>
    </row>
    <row r="25" spans="1:8" ht="15" customHeight="1" hidden="1">
      <c r="A25" s="22"/>
      <c r="B25" s="638" t="s">
        <v>54</v>
      </c>
      <c r="C25" s="638"/>
      <c r="D25" s="638"/>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31" t="s">
        <v>227</v>
      </c>
      <c r="B1" s="831"/>
      <c r="C1" s="831"/>
      <c r="D1" s="834" t="s">
        <v>339</v>
      </c>
      <c r="E1" s="834"/>
      <c r="F1" s="834"/>
      <c r="G1" s="834"/>
      <c r="H1" s="834"/>
      <c r="I1" s="834"/>
      <c r="J1" s="191" t="s">
        <v>340</v>
      </c>
      <c r="K1" s="322"/>
      <c r="L1" s="322"/>
    </row>
    <row r="2" spans="1:12" ht="18.75" customHeight="1">
      <c r="A2" s="832" t="s">
        <v>298</v>
      </c>
      <c r="B2" s="832"/>
      <c r="C2" s="832"/>
      <c r="D2" s="921" t="s">
        <v>228</v>
      </c>
      <c r="E2" s="921"/>
      <c r="F2" s="921"/>
      <c r="G2" s="921"/>
      <c r="H2" s="921"/>
      <c r="I2" s="921"/>
      <c r="J2" s="831" t="s">
        <v>341</v>
      </c>
      <c r="K2" s="831"/>
      <c r="L2" s="831"/>
    </row>
    <row r="3" spans="1:12" ht="17.25">
      <c r="A3" s="832" t="s">
        <v>250</v>
      </c>
      <c r="B3" s="832"/>
      <c r="C3" s="832"/>
      <c r="D3" s="922" t="s">
        <v>342</v>
      </c>
      <c r="E3" s="923"/>
      <c r="F3" s="923"/>
      <c r="G3" s="923"/>
      <c r="H3" s="923"/>
      <c r="I3" s="923"/>
      <c r="J3" s="194" t="s">
        <v>358</v>
      </c>
      <c r="K3" s="194"/>
      <c r="L3" s="194"/>
    </row>
    <row r="4" spans="1:12" ht="15.75">
      <c r="A4" s="918" t="s">
        <v>343</v>
      </c>
      <c r="B4" s="918"/>
      <c r="C4" s="918"/>
      <c r="D4" s="919"/>
      <c r="E4" s="919"/>
      <c r="F4" s="919"/>
      <c r="G4" s="919"/>
      <c r="H4" s="919"/>
      <c r="I4" s="919"/>
      <c r="J4" s="837" t="s">
        <v>300</v>
      </c>
      <c r="K4" s="837"/>
      <c r="L4" s="837"/>
    </row>
    <row r="5" spans="1:13" ht="15.75">
      <c r="A5" s="324"/>
      <c r="B5" s="324"/>
      <c r="C5" s="325"/>
      <c r="D5" s="325"/>
      <c r="E5" s="193"/>
      <c r="J5" s="326" t="s">
        <v>344</v>
      </c>
      <c r="K5" s="241"/>
      <c r="L5" s="241"/>
      <c r="M5" s="241"/>
    </row>
    <row r="6" spans="1:13" s="329" customFormat="1" ht="24.75" customHeight="1">
      <c r="A6" s="912" t="s">
        <v>57</v>
      </c>
      <c r="B6" s="913"/>
      <c r="C6" s="910" t="s">
        <v>345</v>
      </c>
      <c r="D6" s="910"/>
      <c r="E6" s="910"/>
      <c r="F6" s="910"/>
      <c r="G6" s="910"/>
      <c r="H6" s="910"/>
      <c r="I6" s="910" t="s">
        <v>229</v>
      </c>
      <c r="J6" s="910"/>
      <c r="K6" s="910"/>
      <c r="L6" s="910"/>
      <c r="M6" s="328"/>
    </row>
    <row r="7" spans="1:13" s="329" customFormat="1" ht="17.25" customHeight="1">
      <c r="A7" s="914"/>
      <c r="B7" s="915"/>
      <c r="C7" s="910" t="s">
        <v>31</v>
      </c>
      <c r="D7" s="910"/>
      <c r="E7" s="910" t="s">
        <v>7</v>
      </c>
      <c r="F7" s="910"/>
      <c r="G7" s="910"/>
      <c r="H7" s="910"/>
      <c r="I7" s="910" t="s">
        <v>230</v>
      </c>
      <c r="J7" s="910"/>
      <c r="K7" s="910" t="s">
        <v>231</v>
      </c>
      <c r="L7" s="910"/>
      <c r="M7" s="328"/>
    </row>
    <row r="8" spans="1:12" s="329" customFormat="1" ht="27.75" customHeight="1">
      <c r="A8" s="914"/>
      <c r="B8" s="915"/>
      <c r="C8" s="910"/>
      <c r="D8" s="910"/>
      <c r="E8" s="910" t="s">
        <v>232</v>
      </c>
      <c r="F8" s="910"/>
      <c r="G8" s="910" t="s">
        <v>233</v>
      </c>
      <c r="H8" s="910"/>
      <c r="I8" s="910"/>
      <c r="J8" s="910"/>
      <c r="K8" s="910"/>
      <c r="L8" s="910"/>
    </row>
    <row r="9" spans="1:12" s="329" customFormat="1" ht="24.75" customHeight="1">
      <c r="A9" s="916"/>
      <c r="B9" s="917"/>
      <c r="C9" s="327" t="s">
        <v>234</v>
      </c>
      <c r="D9" s="327" t="s">
        <v>9</v>
      </c>
      <c r="E9" s="327" t="s">
        <v>3</v>
      </c>
      <c r="F9" s="327" t="s">
        <v>235</v>
      </c>
      <c r="G9" s="327" t="s">
        <v>3</v>
      </c>
      <c r="H9" s="327" t="s">
        <v>235</v>
      </c>
      <c r="I9" s="327" t="s">
        <v>3</v>
      </c>
      <c r="J9" s="327" t="s">
        <v>235</v>
      </c>
      <c r="K9" s="327" t="s">
        <v>3</v>
      </c>
      <c r="L9" s="327" t="s">
        <v>235</v>
      </c>
    </row>
    <row r="10" spans="1:12" s="331" customFormat="1" ht="15.75">
      <c r="A10" s="816" t="s">
        <v>6</v>
      </c>
      <c r="B10" s="817"/>
      <c r="C10" s="330">
        <v>1</v>
      </c>
      <c r="D10" s="330">
        <v>2</v>
      </c>
      <c r="E10" s="330">
        <v>3</v>
      </c>
      <c r="F10" s="330">
        <v>4</v>
      </c>
      <c r="G10" s="330">
        <v>5</v>
      </c>
      <c r="H10" s="330">
        <v>6</v>
      </c>
      <c r="I10" s="330">
        <v>7</v>
      </c>
      <c r="J10" s="330">
        <v>8</v>
      </c>
      <c r="K10" s="330">
        <v>9</v>
      </c>
      <c r="L10" s="330">
        <v>10</v>
      </c>
    </row>
    <row r="11" spans="1:12" s="331" customFormat="1" ht="30.75" customHeight="1">
      <c r="A11" s="828" t="s">
        <v>295</v>
      </c>
      <c r="B11" s="82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07" t="s">
        <v>296</v>
      </c>
      <c r="B12" s="808"/>
      <c r="C12" s="249">
        <v>0</v>
      </c>
      <c r="D12" s="249">
        <v>0</v>
      </c>
      <c r="E12" s="249">
        <v>0</v>
      </c>
      <c r="F12" s="249">
        <v>0</v>
      </c>
      <c r="G12" s="249">
        <v>0</v>
      </c>
      <c r="H12" s="249">
        <v>0</v>
      </c>
      <c r="I12" s="249">
        <v>0</v>
      </c>
      <c r="J12" s="249">
        <v>0</v>
      </c>
      <c r="K12" s="249">
        <v>0</v>
      </c>
      <c r="L12" s="249">
        <v>0</v>
      </c>
    </row>
    <row r="13" spans="1:32" s="331" customFormat="1" ht="17.25" customHeight="1">
      <c r="A13" s="810" t="s">
        <v>30</v>
      </c>
      <c r="B13" s="81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265</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297</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268</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269</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270</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271</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276</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278</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279</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280</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282</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26" t="s">
        <v>283</v>
      </c>
      <c r="C28" s="826"/>
      <c r="D28" s="826"/>
      <c r="E28" s="204"/>
      <c r="F28" s="258"/>
      <c r="G28" s="258"/>
      <c r="H28" s="825" t="s">
        <v>283</v>
      </c>
      <c r="I28" s="825"/>
      <c r="J28" s="825"/>
      <c r="K28" s="825"/>
      <c r="L28" s="825"/>
      <c r="AG28" s="192" t="s">
        <v>284</v>
      </c>
      <c r="AI28" s="190">
        <f>82/88</f>
        <v>0.9318181818181818</v>
      </c>
    </row>
    <row r="29" spans="1:12" s="192" customFormat="1" ht="19.5" customHeight="1">
      <c r="A29" s="202"/>
      <c r="B29" s="827" t="s">
        <v>236</v>
      </c>
      <c r="C29" s="827"/>
      <c r="D29" s="827"/>
      <c r="E29" s="204"/>
      <c r="F29" s="205"/>
      <c r="G29" s="205"/>
      <c r="H29" s="830" t="s">
        <v>154</v>
      </c>
      <c r="I29" s="830"/>
      <c r="J29" s="830"/>
      <c r="K29" s="830"/>
      <c r="L29" s="830"/>
    </row>
    <row r="30" spans="1:12" s="196" customFormat="1" ht="15" customHeight="1">
      <c r="A30" s="202"/>
      <c r="B30" s="911"/>
      <c r="C30" s="911"/>
      <c r="D30" s="911"/>
      <c r="E30" s="204"/>
      <c r="F30" s="205"/>
      <c r="G30" s="205"/>
      <c r="H30" s="783"/>
      <c r="I30" s="783"/>
      <c r="J30" s="783"/>
      <c r="K30" s="783"/>
      <c r="L30" s="783"/>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909" t="s">
        <v>287</v>
      </c>
      <c r="C33" s="909"/>
      <c r="D33" s="909"/>
      <c r="E33" s="336"/>
      <c r="F33" s="336"/>
      <c r="G33" s="336"/>
      <c r="H33" s="336"/>
      <c r="I33" s="336"/>
      <c r="J33" s="337" t="s">
        <v>287</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920" t="s">
        <v>237</v>
      </c>
      <c r="C37" s="920"/>
      <c r="D37" s="920"/>
      <c r="E37" s="920"/>
      <c r="F37" s="920"/>
      <c r="G37" s="920"/>
      <c r="H37" s="920"/>
      <c r="I37" s="920"/>
      <c r="J37" s="920"/>
      <c r="K37" s="339"/>
      <c r="L37" s="294"/>
      <c r="M37" s="265"/>
      <c r="N37" s="265"/>
      <c r="O37" s="265"/>
    </row>
    <row r="38" spans="2:12" s="184" customFormat="1" ht="18.75" hidden="1">
      <c r="B38" s="236" t="s">
        <v>238</v>
      </c>
      <c r="C38" s="186"/>
      <c r="D38" s="186"/>
      <c r="E38" s="186"/>
      <c r="F38" s="186"/>
      <c r="G38" s="186"/>
      <c r="H38" s="186"/>
      <c r="I38" s="186"/>
      <c r="J38" s="186"/>
      <c r="K38" s="338"/>
      <c r="L38" s="186"/>
    </row>
    <row r="39" spans="2:12" ht="18.75" hidden="1">
      <c r="B39" s="340" t="s">
        <v>239</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55" t="s">
        <v>329</v>
      </c>
      <c r="C41" s="655"/>
      <c r="D41" s="655"/>
      <c r="E41" s="210"/>
      <c r="F41" s="210"/>
      <c r="G41" s="182"/>
      <c r="H41" s="656" t="s">
        <v>244</v>
      </c>
      <c r="I41" s="656"/>
      <c r="J41" s="656"/>
      <c r="K41" s="656"/>
      <c r="L41" s="656"/>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24" t="s">
        <v>371</v>
      </c>
      <c r="M1" s="925"/>
      <c r="N1" s="925"/>
      <c r="O1" s="365"/>
      <c r="P1" s="365"/>
      <c r="Q1" s="365"/>
      <c r="R1" s="365"/>
      <c r="S1" s="365"/>
      <c r="T1" s="365"/>
      <c r="U1" s="365"/>
      <c r="V1" s="365"/>
      <c r="W1" s="365"/>
      <c r="X1" s="365"/>
      <c r="Y1" s="366"/>
    </row>
    <row r="2" spans="11:17" ht="34.5" customHeight="1">
      <c r="K2" s="349"/>
      <c r="L2" s="926" t="s">
        <v>378</v>
      </c>
      <c r="M2" s="927"/>
      <c r="N2" s="928"/>
      <c r="O2" s="29"/>
      <c r="P2" s="351"/>
      <c r="Q2" s="347"/>
    </row>
    <row r="3" spans="11:18" ht="31.5" customHeight="1">
      <c r="K3" s="349"/>
      <c r="L3" s="354" t="s">
        <v>387</v>
      </c>
      <c r="M3" s="355" t="e">
        <f>#REF!</f>
        <v>#REF!</v>
      </c>
      <c r="N3" s="355"/>
      <c r="O3" s="355"/>
      <c r="P3" s="352"/>
      <c r="Q3" s="348"/>
      <c r="R3" s="345"/>
    </row>
    <row r="4" spans="11:18" ht="30" customHeight="1">
      <c r="K4" s="349"/>
      <c r="L4" s="356" t="s">
        <v>372</v>
      </c>
      <c r="M4" s="357" t="e">
        <f>#REF!</f>
        <v>#REF!</v>
      </c>
      <c r="N4" s="355"/>
      <c r="O4" s="355"/>
      <c r="P4" s="352"/>
      <c r="Q4" s="348"/>
      <c r="R4" s="345"/>
    </row>
    <row r="5" spans="11:18" ht="31.5" customHeight="1">
      <c r="K5" s="349"/>
      <c r="L5" s="356" t="s">
        <v>373</v>
      </c>
      <c r="M5" s="357" t="e">
        <f>#REF!</f>
        <v>#REF!</v>
      </c>
      <c r="N5" s="355"/>
      <c r="O5" s="355"/>
      <c r="P5" s="352"/>
      <c r="Q5" s="348"/>
      <c r="R5" s="345"/>
    </row>
    <row r="6" spans="11:18" ht="27" customHeight="1">
      <c r="K6" s="349"/>
      <c r="L6" s="354" t="s">
        <v>374</v>
      </c>
      <c r="M6" s="355" t="e">
        <f>#REF!</f>
        <v>#REF!</v>
      </c>
      <c r="N6" s="355"/>
      <c r="O6" s="355"/>
      <c r="P6" s="352"/>
      <c r="Q6" s="348"/>
      <c r="R6" s="345"/>
    </row>
    <row r="7" spans="11:18" s="342" customFormat="1" ht="30" customHeight="1">
      <c r="K7" s="350"/>
      <c r="L7" s="358" t="s">
        <v>389</v>
      </c>
      <c r="M7" s="355" t="e">
        <f>#REF!</f>
        <v>#REF!</v>
      </c>
      <c r="N7" s="355"/>
      <c r="O7" s="355"/>
      <c r="P7" s="352"/>
      <c r="Q7" s="348"/>
      <c r="R7" s="345"/>
    </row>
    <row r="8" spans="11:18" ht="30.75" customHeight="1">
      <c r="K8" s="349"/>
      <c r="L8" s="359" t="s">
        <v>388</v>
      </c>
      <c r="M8" s="360">
        <f>'[7]M6 Tong hop Viec CHV '!$C$12</f>
        <v>1489</v>
      </c>
      <c r="N8" s="355"/>
      <c r="O8" s="355"/>
      <c r="P8" s="352"/>
      <c r="Q8" s="348"/>
      <c r="R8" s="345"/>
    </row>
    <row r="9" spans="11:18" ht="33" customHeight="1">
      <c r="K9" s="349"/>
      <c r="L9" s="367" t="s">
        <v>391</v>
      </c>
      <c r="M9" s="368" t="e">
        <f>(M7-M8)/M8</f>
        <v>#REF!</v>
      </c>
      <c r="N9" s="355"/>
      <c r="O9" s="355"/>
      <c r="P9" s="352"/>
      <c r="Q9" s="348"/>
      <c r="R9" s="345"/>
    </row>
    <row r="10" spans="11:18" ht="33" customHeight="1">
      <c r="K10" s="349"/>
      <c r="L10" s="354" t="s">
        <v>390</v>
      </c>
      <c r="M10" s="355" t="e">
        <f>#REF!</f>
        <v>#REF!</v>
      </c>
      <c r="N10" s="355" t="s">
        <v>375</v>
      </c>
      <c r="O10" s="361" t="e">
        <f>M10/M7</f>
        <v>#REF!</v>
      </c>
      <c r="P10" s="352"/>
      <c r="Q10" s="348"/>
      <c r="R10" s="345"/>
    </row>
    <row r="11" spans="11:18" ht="22.5" customHeight="1">
      <c r="K11" s="349"/>
      <c r="L11" s="354" t="s">
        <v>392</v>
      </c>
      <c r="M11" s="355" t="e">
        <f>#REF!</f>
        <v>#REF!</v>
      </c>
      <c r="N11" s="355" t="s">
        <v>375</v>
      </c>
      <c r="O11" s="361" t="e">
        <f>M11/M7</f>
        <v>#REF!</v>
      </c>
      <c r="P11" s="352"/>
      <c r="Q11" s="348"/>
      <c r="R11" s="345"/>
    </row>
    <row r="12" spans="11:18" ht="34.5" customHeight="1">
      <c r="K12" s="349"/>
      <c r="L12" s="354" t="s">
        <v>393</v>
      </c>
      <c r="M12" s="355" t="e">
        <f>#REF!+#REF!</f>
        <v>#REF!</v>
      </c>
      <c r="N12" s="354"/>
      <c r="O12" s="354"/>
      <c r="P12" s="346"/>
      <c r="R12" s="346"/>
    </row>
    <row r="13" spans="11:18" ht="33.75" customHeight="1">
      <c r="K13" s="349"/>
      <c r="L13" s="354" t="s">
        <v>394</v>
      </c>
      <c r="M13" s="361" t="e">
        <f>M12/M7</f>
        <v>#REF!</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395</v>
      </c>
      <c r="M16" s="360">
        <f>'[7]M6 Tong hop Viec CHV '!$H$12+'[7]M6 Tong hop Viec CHV '!$I$12+'[7]M6 Tong hop Viec CHV '!$K$12</f>
        <v>749</v>
      </c>
      <c r="N16" s="355"/>
      <c r="O16" s="355"/>
      <c r="P16" s="352"/>
      <c r="R16" s="346"/>
    </row>
    <row r="17" spans="11:18" ht="24.75" customHeight="1">
      <c r="K17" s="349"/>
      <c r="L17" s="367" t="s">
        <v>396</v>
      </c>
      <c r="M17" s="362">
        <f>M16/M8</f>
        <v>0.5030221625251847</v>
      </c>
      <c r="N17" s="355"/>
      <c r="O17" s="355"/>
      <c r="P17" s="352"/>
      <c r="R17" s="346"/>
    </row>
    <row r="18" spans="11:18" ht="26.25" customHeight="1">
      <c r="K18" s="349"/>
      <c r="L18" s="367" t="s">
        <v>376</v>
      </c>
      <c r="M18" s="368" t="e">
        <f>M13-M17</f>
        <v>#REF!</v>
      </c>
      <c r="N18" s="355"/>
      <c r="O18" s="355"/>
      <c r="P18" s="352"/>
      <c r="R18" s="346"/>
    </row>
    <row r="19" spans="11:18" ht="24.75" customHeight="1">
      <c r="K19" s="349"/>
      <c r="L19" s="354" t="s">
        <v>397</v>
      </c>
      <c r="M19" s="355" t="e">
        <f>#REF!</f>
        <v>#REF!</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398</v>
      </c>
      <c r="M26" s="361" t="e">
        <f>M19/#REF!</f>
        <v>#REF!</v>
      </c>
      <c r="N26" s="355"/>
      <c r="O26" s="355"/>
      <c r="P26" s="352"/>
      <c r="R26" s="346"/>
    </row>
    <row r="27" spans="11:18" ht="24.75" customHeight="1">
      <c r="K27" s="349"/>
      <c r="L27" s="359" t="s">
        <v>399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400</v>
      </c>
      <c r="M30" s="361" t="e">
        <f>M26-M27</f>
        <v>#REF!</v>
      </c>
      <c r="N30" s="355"/>
      <c r="O30" s="355"/>
      <c r="P30" s="352"/>
      <c r="R30" s="346"/>
    </row>
    <row r="31" spans="11:18" ht="24.75" customHeight="1">
      <c r="K31" s="349"/>
      <c r="L31" s="354" t="s">
        <v>401</v>
      </c>
      <c r="M31" s="355" t="e">
        <f>#REF!</f>
        <v>#REF!</v>
      </c>
      <c r="N31" s="355"/>
      <c r="O31" s="355"/>
      <c r="P31" s="352"/>
      <c r="R31" s="346"/>
    </row>
    <row r="32" spans="11:18" ht="24.75" customHeight="1">
      <c r="K32" s="349"/>
      <c r="L32" s="359" t="s">
        <v>402</v>
      </c>
      <c r="M32" s="360">
        <f>'[7]M6 Tong hop Viec CHV '!$R$12</f>
        <v>719</v>
      </c>
      <c r="N32" s="355"/>
      <c r="O32" s="355"/>
      <c r="P32" s="352"/>
      <c r="R32" s="346"/>
    </row>
    <row r="33" spans="11:18" ht="24.75" customHeight="1">
      <c r="K33" s="349"/>
      <c r="L33" s="367" t="s">
        <v>403</v>
      </c>
      <c r="M33" s="369" t="e">
        <f>M31-M32</f>
        <v>#REF!</v>
      </c>
      <c r="N33" s="369" t="s">
        <v>377</v>
      </c>
      <c r="O33" s="368" t="e">
        <f>(M31-M32)/M32</f>
        <v>#REF!</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379</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404</v>
      </c>
      <c r="M42" s="355" t="e">
        <f>#REF!</f>
        <v>#REF!</v>
      </c>
      <c r="N42" s="355"/>
      <c r="O42" s="355"/>
      <c r="P42" s="346"/>
      <c r="R42" s="346"/>
    </row>
    <row r="43" spans="11:18" ht="24.75" customHeight="1">
      <c r="K43" s="349"/>
      <c r="L43" s="363" t="s">
        <v>100</v>
      </c>
      <c r="M43" s="355" t="e">
        <f>#REF!</f>
        <v>#REF!</v>
      </c>
      <c r="N43" s="355"/>
      <c r="O43" s="355"/>
      <c r="P43" s="346"/>
      <c r="R43" s="346"/>
    </row>
    <row r="44" spans="11:18" ht="24.75" customHeight="1">
      <c r="K44" s="349"/>
      <c r="L44" s="363" t="s">
        <v>373</v>
      </c>
      <c r="M44" s="355" t="e">
        <f>#REF!</f>
        <v>#REF!</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405</v>
      </c>
      <c r="M47" s="355" t="e">
        <f>#REF!</f>
        <v>#REF!</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406</v>
      </c>
      <c r="M50" s="355" t="e">
        <f>#REF!</f>
        <v>#REF!</v>
      </c>
      <c r="N50" s="355"/>
      <c r="O50" s="355"/>
      <c r="P50" s="346"/>
      <c r="R50" s="346"/>
    </row>
    <row r="51" spans="11:18" ht="24.75" customHeight="1">
      <c r="K51" s="349"/>
      <c r="L51" s="364" t="s">
        <v>407</v>
      </c>
      <c r="M51" s="360">
        <f>'[7]M7 Thop tien CHV'!$C$12</f>
        <v>54227822.442</v>
      </c>
      <c r="N51" s="355"/>
      <c r="O51" s="355"/>
      <c r="P51" s="346"/>
      <c r="R51" s="346"/>
    </row>
    <row r="52" spans="11:18" ht="24.75" customHeight="1">
      <c r="K52" s="349"/>
      <c r="L52" s="377" t="s">
        <v>380</v>
      </c>
      <c r="M52" s="369" t="e">
        <f>M50-M51</f>
        <v>#REF!</v>
      </c>
      <c r="N52" s="355"/>
      <c r="O52" s="355"/>
      <c r="P52" s="346"/>
      <c r="R52" s="346"/>
    </row>
    <row r="53" spans="11:18" ht="24.75" customHeight="1">
      <c r="K53" s="349"/>
      <c r="L53" s="377" t="s">
        <v>381</v>
      </c>
      <c r="M53" s="368" t="e">
        <f>(M52/M51)</f>
        <v>#REF!</v>
      </c>
      <c r="N53" s="355"/>
      <c r="O53" s="355"/>
      <c r="P53" s="346"/>
      <c r="R53" s="346"/>
    </row>
    <row r="54" spans="11:18" ht="24.75" customHeight="1">
      <c r="K54" s="349"/>
      <c r="L54" s="363" t="s">
        <v>408</v>
      </c>
      <c r="M54" s="355" t="e">
        <f>#REF!</f>
        <v>#REF!</v>
      </c>
      <c r="N54" s="355" t="s">
        <v>382</v>
      </c>
      <c r="O54" s="361" t="e">
        <f>#REF!/#REF!</f>
        <v>#REF!</v>
      </c>
      <c r="P54" s="346"/>
      <c r="R54" s="346"/>
    </row>
    <row r="55" spans="11:18" ht="24.75" customHeight="1">
      <c r="K55" s="349"/>
      <c r="L55" s="363" t="s">
        <v>409</v>
      </c>
      <c r="M55" s="355" t="e">
        <f>#REF!</f>
        <v>#REF!</v>
      </c>
      <c r="N55" s="355" t="s">
        <v>382</v>
      </c>
      <c r="O55" s="361" t="e">
        <f>#REF!/#REF!</f>
        <v>#REF!</v>
      </c>
      <c r="P55" s="346"/>
      <c r="R55" s="346"/>
    </row>
    <row r="56" spans="11:18" ht="24.75" customHeight="1">
      <c r="K56" s="349"/>
      <c r="L56" s="363" t="s">
        <v>410</v>
      </c>
      <c r="M56" s="355" t="e">
        <f>#REF!+#REF!+#REF!</f>
        <v>#REF!</v>
      </c>
      <c r="N56" s="355" t="s">
        <v>382</v>
      </c>
      <c r="O56" s="361" t="e">
        <f>M56/#REF!</f>
        <v>#REF!</v>
      </c>
      <c r="P56" s="346"/>
      <c r="R56" s="346"/>
    </row>
    <row r="57" spans="11:18" ht="24.75" customHeight="1">
      <c r="K57" s="349"/>
      <c r="L57" s="364" t="s">
        <v>411</v>
      </c>
      <c r="M57" s="360">
        <f>'[7]M7 Thop tien CHV'!$H$12+'[7]M7 Thop tien CHV'!$I$12+'[7]M7 Thop tien CHV'!$K$12</f>
        <v>2217726.5</v>
      </c>
      <c r="N57" s="360" t="s">
        <v>382</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412</v>
      </c>
      <c r="M60" s="368" t="e">
        <f>O56-O57</f>
        <v>#REF!</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413</v>
      </c>
      <c r="M63" s="355" t="e">
        <f>#REF!</f>
        <v>#REF!</v>
      </c>
      <c r="N63" s="355" t="s">
        <v>383</v>
      </c>
      <c r="O63" s="361" t="e">
        <f>#REF!/#REF!</f>
        <v>#REF!</v>
      </c>
      <c r="P63" s="346"/>
      <c r="R63" s="346"/>
    </row>
    <row r="64" spans="11:16" ht="24.75" customHeight="1">
      <c r="K64" s="349"/>
      <c r="L64" s="364" t="s">
        <v>414</v>
      </c>
      <c r="M64" s="360">
        <f>'[7]M7 Thop tien CHV'!$H$12</f>
        <v>2212774.5</v>
      </c>
      <c r="N64" s="360" t="s">
        <v>384</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415</v>
      </c>
      <c r="M68" s="368" t="e">
        <f>O63-O64</f>
        <v>#REF!</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416</v>
      </c>
      <c r="M72" s="355" t="e">
        <f>#REF!</f>
        <v>#REF!</v>
      </c>
      <c r="N72" s="355"/>
      <c r="O72" s="355"/>
      <c r="P72" s="346"/>
    </row>
    <row r="73" spans="11:16" ht="24.75" customHeight="1">
      <c r="K73" s="349"/>
      <c r="L73" s="364" t="s">
        <v>417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385</v>
      </c>
      <c r="M76" s="369" t="e">
        <f>M72-M73</f>
        <v>#REF!</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386</v>
      </c>
      <c r="M79" s="368" t="e">
        <f>M76/M73</f>
        <v>#REF!</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3" sqref="B3"/>
    </sheetView>
  </sheetViews>
  <sheetFormatPr defaultColWidth="9.00390625" defaultRowHeight="15.75"/>
  <cols>
    <col min="1" max="1" width="23.50390625" style="0" customWidth="1"/>
    <col min="2" max="2" width="66.125" style="0" customWidth="1"/>
  </cols>
  <sheetData>
    <row r="2" spans="1:2" ht="62.25" customHeight="1">
      <c r="A2" s="929" t="s">
        <v>426</v>
      </c>
      <c r="B2" s="929"/>
    </row>
    <row r="3" spans="1:2" ht="22.5" customHeight="1">
      <c r="A3" s="383" t="s">
        <v>419</v>
      </c>
      <c r="B3" s="570" t="s">
        <v>581</v>
      </c>
    </row>
    <row r="4" spans="1:2" ht="22.5" customHeight="1">
      <c r="A4" s="383" t="s">
        <v>418</v>
      </c>
      <c r="B4" s="384" t="s">
        <v>429</v>
      </c>
    </row>
    <row r="5" spans="1:2" ht="22.5" customHeight="1">
      <c r="A5" s="383" t="s">
        <v>420</v>
      </c>
      <c r="B5" s="391" t="s">
        <v>430</v>
      </c>
    </row>
    <row r="6" spans="1:2" ht="22.5" customHeight="1">
      <c r="A6" s="383" t="s">
        <v>421</v>
      </c>
      <c r="B6" s="391" t="s">
        <v>504</v>
      </c>
    </row>
    <row r="7" spans="1:2" ht="22.5" customHeight="1">
      <c r="A7" s="383" t="s">
        <v>422</v>
      </c>
      <c r="B7" s="391" t="s">
        <v>432</v>
      </c>
    </row>
    <row r="8" spans="1:2" ht="15.75">
      <c r="A8" s="385" t="s">
        <v>423</v>
      </c>
      <c r="B8" s="392" t="s">
        <v>583</v>
      </c>
    </row>
    <row r="10" spans="1:2" ht="62.25" customHeight="1">
      <c r="A10" s="930" t="s">
        <v>428</v>
      </c>
      <c r="B10" s="930"/>
    </row>
    <row r="11" spans="1:2" ht="15.75">
      <c r="A11" s="931"/>
      <c r="B11" s="931"/>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0000"/>
  </sheetPr>
  <dimension ref="A1:AA34"/>
  <sheetViews>
    <sheetView view="pageBreakPreview" zoomScale="120" zoomScaleNormal="80" zoomScaleSheetLayoutView="120" zoomScalePageLayoutView="0" workbookViewId="0" topLeftCell="A7">
      <pane xSplit="3" ySplit="6" topLeftCell="D13" activePane="bottomRight" state="frozen"/>
      <selection pane="topLeft" activeCell="A7" sqref="A7"/>
      <selection pane="topRight" activeCell="D7" sqref="D7"/>
      <selection pane="bottomLeft" activeCell="A13" sqref="A13"/>
      <selection pane="bottomRight" activeCell="Q15" sqref="Q15"/>
    </sheetView>
  </sheetViews>
  <sheetFormatPr defaultColWidth="9.00390625" defaultRowHeight="15.75"/>
  <cols>
    <col min="1" max="1" width="4.75390625" style="0" customWidth="1"/>
    <col min="2" max="2" width="9.375" style="0" customWidth="1"/>
    <col min="3" max="19" width="6.625" style="0" customWidth="1"/>
    <col min="20" max="24" width="6.375" style="0" customWidth="1"/>
    <col min="25" max="25" width="8.50390625" style="0" customWidth="1"/>
  </cols>
  <sheetData>
    <row r="1" spans="1:24" ht="15.75">
      <c r="A1" s="393"/>
      <c r="B1" s="393"/>
      <c r="C1" s="393"/>
      <c r="D1" s="393"/>
      <c r="E1" s="393"/>
      <c r="F1" s="393"/>
      <c r="G1" s="393"/>
      <c r="H1" s="393"/>
      <c r="I1" s="393"/>
      <c r="J1" s="393"/>
      <c r="K1" s="393"/>
      <c r="L1" s="393"/>
      <c r="M1" s="393"/>
      <c r="N1" s="393"/>
      <c r="O1" s="393"/>
      <c r="P1" s="393"/>
      <c r="Q1" s="393"/>
      <c r="R1" s="393"/>
      <c r="S1" s="393"/>
      <c r="T1" s="393"/>
      <c r="U1" s="393"/>
      <c r="V1" s="393"/>
      <c r="W1" s="393"/>
      <c r="X1" s="393"/>
    </row>
    <row r="2" spans="1:24" ht="16.5">
      <c r="A2" s="394" t="s">
        <v>520</v>
      </c>
      <c r="B2" s="394"/>
      <c r="C2" s="394"/>
      <c r="D2" s="393"/>
      <c r="E2" s="985" t="s">
        <v>66</v>
      </c>
      <c r="F2" s="985"/>
      <c r="G2" s="985"/>
      <c r="H2" s="985"/>
      <c r="I2" s="985"/>
      <c r="J2" s="985"/>
      <c r="K2" s="985"/>
      <c r="L2" s="985"/>
      <c r="M2" s="985"/>
      <c r="N2" s="985"/>
      <c r="O2" s="985"/>
      <c r="P2" s="986" t="s">
        <v>424</v>
      </c>
      <c r="Q2" s="986"/>
      <c r="R2" s="986"/>
      <c r="S2" s="986"/>
      <c r="T2" s="459"/>
      <c r="U2" s="459"/>
      <c r="V2" s="459"/>
      <c r="W2" s="459"/>
      <c r="X2" s="459"/>
    </row>
    <row r="3" spans="1:24" ht="16.5">
      <c r="A3" s="987" t="s">
        <v>240</v>
      </c>
      <c r="B3" s="987"/>
      <c r="C3" s="987"/>
      <c r="D3" s="987"/>
      <c r="E3" s="988" t="s">
        <v>34</v>
      </c>
      <c r="F3" s="988"/>
      <c r="G3" s="988"/>
      <c r="H3" s="988"/>
      <c r="I3" s="988"/>
      <c r="J3" s="988"/>
      <c r="K3" s="988"/>
      <c r="L3" s="988"/>
      <c r="M3" s="988"/>
      <c r="N3" s="988"/>
      <c r="O3" s="988"/>
      <c r="P3" s="984" t="str">
        <f>'Thong tin'!B4</f>
        <v>CTHADS TRÀ VINH</v>
      </c>
      <c r="Q3" s="984"/>
      <c r="R3" s="984"/>
      <c r="S3" s="984"/>
      <c r="T3" s="458"/>
      <c r="U3" s="458"/>
      <c r="V3" s="458"/>
      <c r="W3" s="458"/>
      <c r="X3" s="458"/>
    </row>
    <row r="4" spans="1:24" ht="16.5">
      <c r="A4" s="987" t="s">
        <v>241</v>
      </c>
      <c r="B4" s="987"/>
      <c r="C4" s="987"/>
      <c r="D4" s="987"/>
      <c r="E4" s="989" t="str">
        <f>'Thong tin'!B3</f>
        <v>02 tháng / năm 2020</v>
      </c>
      <c r="F4" s="989"/>
      <c r="G4" s="989"/>
      <c r="H4" s="989"/>
      <c r="I4" s="989"/>
      <c r="J4" s="989"/>
      <c r="K4" s="989"/>
      <c r="L4" s="989"/>
      <c r="M4" s="989"/>
      <c r="N4" s="989"/>
      <c r="O4" s="989"/>
      <c r="P4" s="986" t="s">
        <v>443</v>
      </c>
      <c r="Q4" s="986"/>
      <c r="R4" s="986"/>
      <c r="S4" s="986"/>
      <c r="T4" s="459"/>
      <c r="U4" s="459"/>
      <c r="V4" s="459"/>
      <c r="W4" s="459"/>
      <c r="X4" s="459"/>
    </row>
    <row r="5" spans="1:24" ht="15.75">
      <c r="A5" s="394" t="s">
        <v>518</v>
      </c>
      <c r="B5" s="394"/>
      <c r="C5" s="394"/>
      <c r="D5" s="394"/>
      <c r="E5" s="394"/>
      <c r="F5" s="394"/>
      <c r="G5" s="394"/>
      <c r="H5" s="394"/>
      <c r="I5" s="394"/>
      <c r="J5" s="394"/>
      <c r="K5" s="394"/>
      <c r="L5" s="394"/>
      <c r="M5" s="394"/>
      <c r="N5" s="432"/>
      <c r="O5" s="432"/>
      <c r="P5" s="984" t="s">
        <v>517</v>
      </c>
      <c r="Q5" s="984"/>
      <c r="R5" s="984"/>
      <c r="S5" s="984"/>
      <c r="T5" s="458"/>
      <c r="U5" s="458"/>
      <c r="V5" s="458"/>
      <c r="W5" s="458"/>
      <c r="X5" s="458"/>
    </row>
    <row r="6" spans="1:24" ht="15.75">
      <c r="A6" s="393"/>
      <c r="B6" s="431"/>
      <c r="C6" s="431"/>
      <c r="D6" s="393"/>
      <c r="E6" s="393"/>
      <c r="F6" s="393"/>
      <c r="G6" s="393"/>
      <c r="H6" s="393"/>
      <c r="I6" s="393"/>
      <c r="J6" s="393"/>
      <c r="K6" s="393"/>
      <c r="L6" s="393"/>
      <c r="M6" s="393"/>
      <c r="N6" s="393"/>
      <c r="O6" s="393"/>
      <c r="P6" s="969" t="s">
        <v>8</v>
      </c>
      <c r="Q6" s="969"/>
      <c r="R6" s="969"/>
      <c r="S6" s="969"/>
      <c r="T6" s="459"/>
      <c r="U6" s="459"/>
      <c r="V6" s="459"/>
      <c r="W6" s="459"/>
      <c r="X6" s="459"/>
    </row>
    <row r="7" spans="1:26" ht="15.75">
      <c r="A7" s="970" t="s">
        <v>57</v>
      </c>
      <c r="B7" s="971"/>
      <c r="C7" s="976" t="s">
        <v>121</v>
      </c>
      <c r="D7" s="977"/>
      <c r="E7" s="978"/>
      <c r="F7" s="979" t="s">
        <v>101</v>
      </c>
      <c r="G7" s="951" t="s">
        <v>122</v>
      </c>
      <c r="H7" s="981" t="s">
        <v>102</v>
      </c>
      <c r="I7" s="982"/>
      <c r="J7" s="982"/>
      <c r="K7" s="982"/>
      <c r="L7" s="982"/>
      <c r="M7" s="982"/>
      <c r="N7" s="982"/>
      <c r="O7" s="982"/>
      <c r="P7" s="982"/>
      <c r="Q7" s="983"/>
      <c r="R7" s="968" t="s">
        <v>245</v>
      </c>
      <c r="S7" s="953" t="s">
        <v>516</v>
      </c>
      <c r="T7" s="932" t="s">
        <v>515</v>
      </c>
      <c r="U7" s="932" t="s">
        <v>514</v>
      </c>
      <c r="V7" s="934" t="s">
        <v>575</v>
      </c>
      <c r="W7" s="936" t="s">
        <v>537</v>
      </c>
      <c r="X7" s="936" t="s">
        <v>573</v>
      </c>
      <c r="Y7" s="938"/>
      <c r="Z7" s="938"/>
    </row>
    <row r="8" spans="1:26" ht="15.75">
      <c r="A8" s="972"/>
      <c r="B8" s="973"/>
      <c r="C8" s="968" t="s">
        <v>42</v>
      </c>
      <c r="D8" s="957" t="s">
        <v>7</v>
      </c>
      <c r="E8" s="958"/>
      <c r="F8" s="980"/>
      <c r="G8" s="961"/>
      <c r="H8" s="951" t="s">
        <v>31</v>
      </c>
      <c r="I8" s="957" t="s">
        <v>103</v>
      </c>
      <c r="J8" s="962"/>
      <c r="K8" s="962"/>
      <c r="L8" s="962"/>
      <c r="M8" s="962"/>
      <c r="N8" s="962"/>
      <c r="O8" s="962"/>
      <c r="P8" s="963"/>
      <c r="Q8" s="958" t="s">
        <v>123</v>
      </c>
      <c r="R8" s="961"/>
      <c r="S8" s="950"/>
      <c r="T8" s="933"/>
      <c r="U8" s="933"/>
      <c r="V8" s="935"/>
      <c r="W8" s="937"/>
      <c r="X8" s="936"/>
      <c r="Y8" s="939"/>
      <c r="Z8" s="939"/>
    </row>
    <row r="9" spans="1:26" ht="15.75">
      <c r="A9" s="972"/>
      <c r="B9" s="973"/>
      <c r="C9" s="961"/>
      <c r="D9" s="959"/>
      <c r="E9" s="960"/>
      <c r="F9" s="980"/>
      <c r="G9" s="961"/>
      <c r="H9" s="961"/>
      <c r="I9" s="951" t="s">
        <v>31</v>
      </c>
      <c r="J9" s="965" t="s">
        <v>7</v>
      </c>
      <c r="K9" s="966"/>
      <c r="L9" s="966"/>
      <c r="M9" s="966"/>
      <c r="N9" s="966"/>
      <c r="O9" s="966"/>
      <c r="P9" s="967"/>
      <c r="Q9" s="964"/>
      <c r="R9" s="961"/>
      <c r="S9" s="950"/>
      <c r="T9" s="933"/>
      <c r="U9" s="933"/>
      <c r="V9" s="935"/>
      <c r="W9" s="937"/>
      <c r="X9" s="936"/>
      <c r="Y9" s="939"/>
      <c r="Z9" s="939"/>
    </row>
    <row r="10" spans="1:26" ht="15.75">
      <c r="A10" s="972"/>
      <c r="B10" s="973"/>
      <c r="C10" s="961"/>
      <c r="D10" s="968" t="s">
        <v>124</v>
      </c>
      <c r="E10" s="968" t="s">
        <v>125</v>
      </c>
      <c r="F10" s="980"/>
      <c r="G10" s="961"/>
      <c r="H10" s="961"/>
      <c r="I10" s="961"/>
      <c r="J10" s="967" t="s">
        <v>126</v>
      </c>
      <c r="K10" s="953" t="s">
        <v>127</v>
      </c>
      <c r="L10" s="950" t="s">
        <v>105</v>
      </c>
      <c r="M10" s="951" t="s">
        <v>128</v>
      </c>
      <c r="N10" s="951" t="s">
        <v>108</v>
      </c>
      <c r="O10" s="951" t="s">
        <v>246</v>
      </c>
      <c r="P10" s="951" t="s">
        <v>111</v>
      </c>
      <c r="Q10" s="964"/>
      <c r="R10" s="961"/>
      <c r="S10" s="950"/>
      <c r="T10" s="933"/>
      <c r="U10" s="933"/>
      <c r="V10" s="935"/>
      <c r="W10" s="937"/>
      <c r="X10" s="936"/>
      <c r="Y10" s="939"/>
      <c r="Z10" s="939"/>
    </row>
    <row r="11" spans="1:26" ht="15.75">
      <c r="A11" s="974"/>
      <c r="B11" s="975"/>
      <c r="C11" s="952"/>
      <c r="D11" s="952"/>
      <c r="E11" s="952"/>
      <c r="F11" s="959"/>
      <c r="G11" s="952"/>
      <c r="H11" s="952"/>
      <c r="I11" s="952"/>
      <c r="J11" s="967"/>
      <c r="K11" s="953"/>
      <c r="L11" s="950"/>
      <c r="M11" s="952"/>
      <c r="N11" s="952" t="s">
        <v>108</v>
      </c>
      <c r="O11" s="952" t="s">
        <v>246</v>
      </c>
      <c r="P11" s="952" t="s">
        <v>111</v>
      </c>
      <c r="Q11" s="960"/>
      <c r="R11" s="952"/>
      <c r="S11" s="950"/>
      <c r="T11" s="933"/>
      <c r="U11" s="933"/>
      <c r="V11" s="935"/>
      <c r="W11" s="937"/>
      <c r="X11" s="936"/>
      <c r="Y11" s="939"/>
      <c r="Z11" s="939"/>
    </row>
    <row r="12" spans="1:26" ht="15.75">
      <c r="A12" s="954" t="s">
        <v>6</v>
      </c>
      <c r="B12" s="955"/>
      <c r="C12" s="430">
        <v>1</v>
      </c>
      <c r="D12" s="430">
        <v>2</v>
      </c>
      <c r="E12" s="430">
        <v>3</v>
      </c>
      <c r="F12" s="430">
        <v>4</v>
      </c>
      <c r="G12" s="430">
        <v>5</v>
      </c>
      <c r="H12" s="430">
        <v>6</v>
      </c>
      <c r="I12" s="430">
        <v>7</v>
      </c>
      <c r="J12" s="430">
        <v>8</v>
      </c>
      <c r="K12" s="430">
        <v>9</v>
      </c>
      <c r="L12" s="430">
        <v>10</v>
      </c>
      <c r="M12" s="430">
        <v>11</v>
      </c>
      <c r="N12" s="430">
        <v>12</v>
      </c>
      <c r="O12" s="430">
        <v>13</v>
      </c>
      <c r="P12" s="430">
        <v>14</v>
      </c>
      <c r="Q12" s="430">
        <v>15</v>
      </c>
      <c r="R12" s="430">
        <v>16</v>
      </c>
      <c r="S12" s="430">
        <v>17</v>
      </c>
      <c r="T12" s="430">
        <v>18</v>
      </c>
      <c r="U12" s="430">
        <v>19</v>
      </c>
      <c r="V12" s="430">
        <v>20</v>
      </c>
      <c r="W12" s="430">
        <v>21</v>
      </c>
      <c r="X12" s="430">
        <v>22</v>
      </c>
      <c r="Y12" s="429"/>
      <c r="Z12" s="429"/>
    </row>
    <row r="13" spans="1:27" ht="15.75">
      <c r="A13" s="945" t="s">
        <v>30</v>
      </c>
      <c r="B13" s="946"/>
      <c r="C13" s="522">
        <f aca="true" t="shared" si="0" ref="C13:R13">+C14+C15</f>
        <v>11029</v>
      </c>
      <c r="D13" s="522">
        <f t="shared" si="0"/>
        <v>8708</v>
      </c>
      <c r="E13" s="522">
        <f t="shared" si="0"/>
        <v>2321</v>
      </c>
      <c r="F13" s="522">
        <f t="shared" si="0"/>
        <v>10</v>
      </c>
      <c r="G13" s="522">
        <f t="shared" si="0"/>
        <v>2</v>
      </c>
      <c r="H13" s="522">
        <f t="shared" si="0"/>
        <v>11019</v>
      </c>
      <c r="I13" s="522">
        <f t="shared" si="0"/>
        <v>6994</v>
      </c>
      <c r="J13" s="522">
        <f t="shared" si="0"/>
        <v>1354</v>
      </c>
      <c r="K13" s="522">
        <f t="shared" si="0"/>
        <v>31</v>
      </c>
      <c r="L13" s="522">
        <f t="shared" si="0"/>
        <v>5560</v>
      </c>
      <c r="M13" s="522">
        <f t="shared" si="0"/>
        <v>30</v>
      </c>
      <c r="N13" s="522">
        <f t="shared" si="0"/>
        <v>2</v>
      </c>
      <c r="O13" s="522">
        <f t="shared" si="0"/>
        <v>0</v>
      </c>
      <c r="P13" s="522">
        <f t="shared" si="0"/>
        <v>17</v>
      </c>
      <c r="Q13" s="522">
        <f t="shared" si="0"/>
        <v>4025</v>
      </c>
      <c r="R13" s="522">
        <f t="shared" si="0"/>
        <v>9634</v>
      </c>
      <c r="S13" s="523">
        <f aca="true" t="shared" si="1" ref="S13:S24">(((J13+K13))/I13)*100</f>
        <v>19.8026880183014</v>
      </c>
      <c r="T13" s="523">
        <f>(((L13+M13+N13+O13+P13)-W13)/W13)*100</f>
        <v>97.84832451499118</v>
      </c>
      <c r="U13" s="524">
        <f>J13+K13</f>
        <v>1385</v>
      </c>
      <c r="V13" s="524">
        <f>L13+M13+N13+O13+P13</f>
        <v>5609</v>
      </c>
      <c r="W13" s="524">
        <f>+W14+W15</f>
        <v>2835</v>
      </c>
      <c r="X13" s="524">
        <f>+V13-W13</f>
        <v>2774</v>
      </c>
      <c r="Y13" s="428"/>
      <c r="Z13" s="427"/>
      <c r="AA13" s="428"/>
    </row>
    <row r="14" spans="1:27" ht="15.75">
      <c r="A14" s="486" t="s">
        <v>0</v>
      </c>
      <c r="B14" s="484" t="s">
        <v>442</v>
      </c>
      <c r="C14" s="522">
        <f>'06'!C12</f>
        <v>347</v>
      </c>
      <c r="D14" s="522">
        <f>'06'!D12</f>
        <v>313</v>
      </c>
      <c r="E14" s="522">
        <f>'06'!E12</f>
        <v>34</v>
      </c>
      <c r="F14" s="522">
        <f>'06'!F12</f>
        <v>1</v>
      </c>
      <c r="G14" s="522">
        <f>'06'!G12</f>
        <v>1</v>
      </c>
      <c r="H14" s="522">
        <f>'06'!H12</f>
        <v>346</v>
      </c>
      <c r="I14" s="522">
        <f>'06'!I12</f>
        <v>171</v>
      </c>
      <c r="J14" s="522">
        <f>'06'!J12</f>
        <v>26</v>
      </c>
      <c r="K14" s="522">
        <f>'06'!K12</f>
        <v>0</v>
      </c>
      <c r="L14" s="522">
        <f>'06'!L12</f>
        <v>135</v>
      </c>
      <c r="M14" s="522">
        <f>'06'!M12</f>
        <v>3</v>
      </c>
      <c r="N14" s="522">
        <f>'06'!N12</f>
        <v>1</v>
      </c>
      <c r="O14" s="522">
        <f>'06'!O12</f>
        <v>0</v>
      </c>
      <c r="P14" s="522">
        <f>'06'!P12</f>
        <v>6</v>
      </c>
      <c r="Q14" s="522">
        <f>'06'!Q12</f>
        <v>175</v>
      </c>
      <c r="R14" s="522">
        <f>'06'!R12</f>
        <v>320</v>
      </c>
      <c r="S14" s="523">
        <f t="shared" si="1"/>
        <v>15.204678362573098</v>
      </c>
      <c r="T14" s="523">
        <f aca="true" t="shared" si="2" ref="T14:T24">(((L14+M14+N14+O14+P14)-W14)/W14)*100</f>
        <v>30.630630630630627</v>
      </c>
      <c r="U14" s="524">
        <f aca="true" t="shared" si="3" ref="U14:U24">J14+K14</f>
        <v>26</v>
      </c>
      <c r="V14" s="524">
        <f aca="true" t="shared" si="4" ref="V14:V24">L14+M14+N14+O14+P14</f>
        <v>145</v>
      </c>
      <c r="W14" s="522">
        <v>111</v>
      </c>
      <c r="X14" s="524">
        <f aca="true" t="shared" si="5" ref="X14:X24">+V14-W14</f>
        <v>34</v>
      </c>
      <c r="Y14" s="428"/>
      <c r="Z14" s="427"/>
      <c r="AA14" s="428"/>
    </row>
    <row r="15" spans="1:27" ht="15.75">
      <c r="A15" s="487" t="s">
        <v>1</v>
      </c>
      <c r="B15" s="488" t="s">
        <v>17</v>
      </c>
      <c r="C15" s="522">
        <f aca="true" t="shared" si="6" ref="C15:R15">SUM(C16:C24)</f>
        <v>10682</v>
      </c>
      <c r="D15" s="522">
        <f t="shared" si="6"/>
        <v>8395</v>
      </c>
      <c r="E15" s="522">
        <f t="shared" si="6"/>
        <v>2287</v>
      </c>
      <c r="F15" s="522">
        <f t="shared" si="6"/>
        <v>9</v>
      </c>
      <c r="G15" s="522">
        <f t="shared" si="6"/>
        <v>1</v>
      </c>
      <c r="H15" s="522">
        <f t="shared" si="6"/>
        <v>10673</v>
      </c>
      <c r="I15" s="522">
        <f t="shared" si="6"/>
        <v>6823</v>
      </c>
      <c r="J15" s="522">
        <f t="shared" si="6"/>
        <v>1328</v>
      </c>
      <c r="K15" s="522">
        <f t="shared" si="6"/>
        <v>31</v>
      </c>
      <c r="L15" s="522">
        <f t="shared" si="6"/>
        <v>5425</v>
      </c>
      <c r="M15" s="522">
        <f t="shared" si="6"/>
        <v>27</v>
      </c>
      <c r="N15" s="522">
        <f t="shared" si="6"/>
        <v>1</v>
      </c>
      <c r="O15" s="522">
        <f t="shared" si="6"/>
        <v>0</v>
      </c>
      <c r="P15" s="522">
        <f t="shared" si="6"/>
        <v>11</v>
      </c>
      <c r="Q15" s="522">
        <f t="shared" si="6"/>
        <v>3850</v>
      </c>
      <c r="R15" s="522">
        <f t="shared" si="6"/>
        <v>9314</v>
      </c>
      <c r="S15" s="523">
        <f t="shared" si="1"/>
        <v>19.917924666568958</v>
      </c>
      <c r="T15" s="523">
        <f t="shared" si="2"/>
        <v>100.58737151248165</v>
      </c>
      <c r="U15" s="524">
        <f t="shared" si="3"/>
        <v>1359</v>
      </c>
      <c r="V15" s="524">
        <f t="shared" si="4"/>
        <v>5464</v>
      </c>
      <c r="W15" s="522">
        <f>+W16+W17+W18+W19+W20+W21+W22+W23+W24</f>
        <v>2724</v>
      </c>
      <c r="X15" s="524">
        <f t="shared" si="5"/>
        <v>2740</v>
      </c>
      <c r="Y15" s="428"/>
      <c r="Z15" s="427"/>
      <c r="AA15" s="428"/>
    </row>
    <row r="16" spans="1:27" ht="15.75">
      <c r="A16" s="483" t="s">
        <v>43</v>
      </c>
      <c r="B16" s="484" t="s">
        <v>441</v>
      </c>
      <c r="C16" s="522">
        <f>'06'!C23</f>
        <v>1231</v>
      </c>
      <c r="D16" s="522">
        <f>'06'!D23</f>
        <v>959</v>
      </c>
      <c r="E16" s="522">
        <f>'06'!E23</f>
        <v>272</v>
      </c>
      <c r="F16" s="522">
        <f>'06'!F23</f>
        <v>0</v>
      </c>
      <c r="G16" s="522">
        <f>'06'!G23</f>
        <v>1</v>
      </c>
      <c r="H16" s="522">
        <f>'06'!H23</f>
        <v>1231</v>
      </c>
      <c r="I16" s="522">
        <f>'06'!I23</f>
        <v>653</v>
      </c>
      <c r="J16" s="522">
        <f>'06'!J23</f>
        <v>140</v>
      </c>
      <c r="K16" s="522">
        <f>'06'!K23</f>
        <v>1</v>
      </c>
      <c r="L16" s="522">
        <f>'06'!L23</f>
        <v>482</v>
      </c>
      <c r="M16" s="522">
        <f>'06'!M23</f>
        <v>20</v>
      </c>
      <c r="N16" s="522">
        <f>'06'!N23</f>
        <v>0</v>
      </c>
      <c r="O16" s="522">
        <f>'06'!O23</f>
        <v>0</v>
      </c>
      <c r="P16" s="522">
        <f>'06'!P23</f>
        <v>10</v>
      </c>
      <c r="Q16" s="522">
        <f>'06'!Q23</f>
        <v>578</v>
      </c>
      <c r="R16" s="522">
        <f>'06'!R23</f>
        <v>1090</v>
      </c>
      <c r="S16" s="523">
        <f t="shared" si="1"/>
        <v>21.592649310872893</v>
      </c>
      <c r="T16" s="523">
        <f t="shared" si="2"/>
        <v>16.894977168949772</v>
      </c>
      <c r="U16" s="524">
        <f t="shared" si="3"/>
        <v>141</v>
      </c>
      <c r="V16" s="524">
        <f t="shared" si="4"/>
        <v>512</v>
      </c>
      <c r="W16" s="522">
        <v>438</v>
      </c>
      <c r="X16" s="524">
        <f t="shared" si="5"/>
        <v>74</v>
      </c>
      <c r="Y16" s="428"/>
      <c r="Z16" s="427"/>
      <c r="AA16" s="428"/>
    </row>
    <row r="17" spans="1:27" ht="15.75">
      <c r="A17" s="483" t="s">
        <v>44</v>
      </c>
      <c r="B17" s="489" t="s">
        <v>440</v>
      </c>
      <c r="C17" s="522">
        <f>'06'!C31</f>
        <v>1774</v>
      </c>
      <c r="D17" s="522">
        <f>'06'!D31</f>
        <v>1324</v>
      </c>
      <c r="E17" s="522">
        <f>'06'!E31</f>
        <v>450</v>
      </c>
      <c r="F17" s="522">
        <f>'06'!F31</f>
        <v>7</v>
      </c>
      <c r="G17" s="522">
        <f>'06'!G31</f>
        <v>0</v>
      </c>
      <c r="H17" s="522">
        <f>'06'!H31</f>
        <v>1767</v>
      </c>
      <c r="I17" s="522">
        <f>'06'!I31</f>
        <v>1188</v>
      </c>
      <c r="J17" s="522">
        <f>'06'!J31</f>
        <v>305</v>
      </c>
      <c r="K17" s="522">
        <f>'06'!K31</f>
        <v>5</v>
      </c>
      <c r="L17" s="522">
        <f>'06'!L31</f>
        <v>878</v>
      </c>
      <c r="M17" s="522">
        <f>'06'!M31</f>
        <v>0</v>
      </c>
      <c r="N17" s="522">
        <f>'06'!N31</f>
        <v>0</v>
      </c>
      <c r="O17" s="522">
        <f>'06'!O31</f>
        <v>0</v>
      </c>
      <c r="P17" s="522">
        <f>'06'!P31</f>
        <v>0</v>
      </c>
      <c r="Q17" s="522">
        <f>'06'!Q31</f>
        <v>579</v>
      </c>
      <c r="R17" s="522">
        <f>'06'!R31</f>
        <v>1457</v>
      </c>
      <c r="S17" s="523">
        <f t="shared" si="1"/>
        <v>26.094276094276093</v>
      </c>
      <c r="T17" s="523">
        <f t="shared" si="2"/>
        <v>163.66366366366367</v>
      </c>
      <c r="U17" s="524">
        <f t="shared" si="3"/>
        <v>310</v>
      </c>
      <c r="V17" s="524">
        <f t="shared" si="4"/>
        <v>878</v>
      </c>
      <c r="W17" s="522">
        <v>333</v>
      </c>
      <c r="X17" s="524">
        <f t="shared" si="5"/>
        <v>545</v>
      </c>
      <c r="Y17" s="428"/>
      <c r="Z17" s="427"/>
      <c r="AA17" s="428"/>
    </row>
    <row r="18" spans="1:27" ht="15.75">
      <c r="A18" s="483" t="s">
        <v>49</v>
      </c>
      <c r="B18" s="484" t="s">
        <v>439</v>
      </c>
      <c r="C18" s="522">
        <f>'06'!C37</f>
        <v>780</v>
      </c>
      <c r="D18" s="522">
        <f>'06'!D37</f>
        <v>664</v>
      </c>
      <c r="E18" s="522">
        <f>'06'!E37</f>
        <v>116</v>
      </c>
      <c r="F18" s="522">
        <f>'06'!F37</f>
        <v>0</v>
      </c>
      <c r="G18" s="522">
        <f>'06'!G37</f>
        <v>0</v>
      </c>
      <c r="H18" s="522">
        <f>'06'!H37</f>
        <v>780</v>
      </c>
      <c r="I18" s="522">
        <f>'06'!I37</f>
        <v>379</v>
      </c>
      <c r="J18" s="522">
        <f>'06'!J37</f>
        <v>65</v>
      </c>
      <c r="K18" s="522">
        <f>'06'!K37</f>
        <v>0</v>
      </c>
      <c r="L18" s="522">
        <f>'06'!L37</f>
        <v>313</v>
      </c>
      <c r="M18" s="522">
        <f>'06'!M37</f>
        <v>1</v>
      </c>
      <c r="N18" s="522">
        <f>'06'!N37</f>
        <v>0</v>
      </c>
      <c r="O18" s="522">
        <f>'06'!O37</f>
        <v>0</v>
      </c>
      <c r="P18" s="522">
        <f>'06'!P37</f>
        <v>0</v>
      </c>
      <c r="Q18" s="522">
        <f>'06'!Q37</f>
        <v>401</v>
      </c>
      <c r="R18" s="522">
        <f>'06'!R37</f>
        <v>715</v>
      </c>
      <c r="S18" s="523">
        <f t="shared" si="1"/>
        <v>17.150395778364118</v>
      </c>
      <c r="T18" s="523">
        <f t="shared" si="2"/>
        <v>22.17898832684825</v>
      </c>
      <c r="U18" s="524">
        <f t="shared" si="3"/>
        <v>65</v>
      </c>
      <c r="V18" s="524" t="s">
        <v>427</v>
      </c>
      <c r="W18" s="522">
        <v>257</v>
      </c>
      <c r="X18" s="524" t="e">
        <f t="shared" si="5"/>
        <v>#VALUE!</v>
      </c>
      <c r="Y18" s="428"/>
      <c r="Z18" s="427"/>
      <c r="AA18" s="428"/>
    </row>
    <row r="19" spans="1:27" ht="15.75">
      <c r="A19" s="483" t="s">
        <v>58</v>
      </c>
      <c r="B19" s="484" t="s">
        <v>438</v>
      </c>
      <c r="C19" s="522">
        <f>'06'!C43</f>
        <v>703</v>
      </c>
      <c r="D19" s="522">
        <f>'06'!D43</f>
        <v>520</v>
      </c>
      <c r="E19" s="522">
        <f>'06'!E43</f>
        <v>183</v>
      </c>
      <c r="F19" s="522">
        <f>'06'!F43</f>
        <v>0</v>
      </c>
      <c r="G19" s="522">
        <f>'06'!G43</f>
        <v>0</v>
      </c>
      <c r="H19" s="522">
        <f>'06'!H43</f>
        <v>703</v>
      </c>
      <c r="I19" s="522">
        <f>'06'!I43</f>
        <v>460</v>
      </c>
      <c r="J19" s="522">
        <f>'06'!J43</f>
        <v>107</v>
      </c>
      <c r="K19" s="522">
        <f>'06'!K43</f>
        <v>2</v>
      </c>
      <c r="L19" s="522">
        <f>'06'!L43</f>
        <v>351</v>
      </c>
      <c r="M19" s="522">
        <f>'06'!M43</f>
        <v>0</v>
      </c>
      <c r="N19" s="522">
        <f>'06'!N43</f>
        <v>0</v>
      </c>
      <c r="O19" s="522">
        <f>'06'!O43</f>
        <v>0</v>
      </c>
      <c r="P19" s="522">
        <f>'06'!P43</f>
        <v>0</v>
      </c>
      <c r="Q19" s="522">
        <f>'06'!Q43</f>
        <v>243</v>
      </c>
      <c r="R19" s="522">
        <f>'06'!R43</f>
        <v>594</v>
      </c>
      <c r="S19" s="523">
        <f t="shared" si="1"/>
        <v>23.695652173913043</v>
      </c>
      <c r="T19" s="523">
        <f t="shared" si="2"/>
        <v>101.72413793103448</v>
      </c>
      <c r="U19" s="524">
        <f t="shared" si="3"/>
        <v>109</v>
      </c>
      <c r="V19" s="524">
        <f t="shared" si="4"/>
        <v>351</v>
      </c>
      <c r="W19" s="522">
        <v>174</v>
      </c>
      <c r="X19" s="524">
        <f t="shared" si="5"/>
        <v>177</v>
      </c>
      <c r="Y19" s="428"/>
      <c r="Z19" s="427"/>
      <c r="AA19" s="428"/>
    </row>
    <row r="20" spans="1:27" ht="15.75">
      <c r="A20" s="483" t="s">
        <v>59</v>
      </c>
      <c r="B20" s="484" t="s">
        <v>437</v>
      </c>
      <c r="C20" s="522">
        <f>'06'!C48</f>
        <v>793</v>
      </c>
      <c r="D20" s="522">
        <f>'06'!D48</f>
        <v>537</v>
      </c>
      <c r="E20" s="522">
        <f>'06'!E48</f>
        <v>256</v>
      </c>
      <c r="F20" s="522">
        <f>'06'!F48</f>
        <v>1</v>
      </c>
      <c r="G20" s="522">
        <f>'06'!G48</f>
        <v>0</v>
      </c>
      <c r="H20" s="522">
        <f>'06'!H48</f>
        <v>792</v>
      </c>
      <c r="I20" s="522">
        <f>'06'!I48</f>
        <v>486</v>
      </c>
      <c r="J20" s="522">
        <f>'06'!J48</f>
        <v>112</v>
      </c>
      <c r="K20" s="522">
        <f>'06'!K48</f>
        <v>5</v>
      </c>
      <c r="L20" s="522">
        <f>'06'!L48</f>
        <v>366</v>
      </c>
      <c r="M20" s="522">
        <f>'06'!M48</f>
        <v>3</v>
      </c>
      <c r="N20" s="522">
        <f>'06'!N48</f>
        <v>0</v>
      </c>
      <c r="O20" s="522">
        <f>'06'!O48</f>
        <v>0</v>
      </c>
      <c r="P20" s="522">
        <f>'06'!P48</f>
        <v>0</v>
      </c>
      <c r="Q20" s="522">
        <f>'06'!Q48</f>
        <v>306</v>
      </c>
      <c r="R20" s="522">
        <f>'06'!R48</f>
        <v>675</v>
      </c>
      <c r="S20" s="523">
        <f t="shared" si="1"/>
        <v>24.074074074074073</v>
      </c>
      <c r="T20" s="523">
        <f t="shared" si="2"/>
        <v>94.21052631578948</v>
      </c>
      <c r="U20" s="524">
        <f t="shared" si="3"/>
        <v>117</v>
      </c>
      <c r="V20" s="524">
        <f t="shared" si="4"/>
        <v>369</v>
      </c>
      <c r="W20" s="522">
        <v>190</v>
      </c>
      <c r="X20" s="524">
        <f t="shared" si="5"/>
        <v>179</v>
      </c>
      <c r="Y20" s="428"/>
      <c r="Z20" s="427"/>
      <c r="AA20" s="428"/>
    </row>
    <row r="21" spans="1:27" ht="15.75">
      <c r="A21" s="483" t="s">
        <v>60</v>
      </c>
      <c r="B21" s="484" t="s">
        <v>436</v>
      </c>
      <c r="C21" s="522">
        <f>'06'!C54</f>
        <v>1459</v>
      </c>
      <c r="D21" s="522">
        <f>'06'!D54</f>
        <v>1228</v>
      </c>
      <c r="E21" s="522">
        <f>'06'!E54</f>
        <v>231</v>
      </c>
      <c r="F21" s="522">
        <f>'06'!F54</f>
        <v>0</v>
      </c>
      <c r="G21" s="522">
        <f>'06'!G54</f>
        <v>0</v>
      </c>
      <c r="H21" s="522">
        <f>'06'!H54</f>
        <v>1459</v>
      </c>
      <c r="I21" s="522">
        <f>'06'!I54</f>
        <v>1013</v>
      </c>
      <c r="J21" s="522">
        <f>'06'!J54</f>
        <v>143</v>
      </c>
      <c r="K21" s="522">
        <f>'06'!K54</f>
        <v>1</v>
      </c>
      <c r="L21" s="522">
        <f>'06'!L54</f>
        <v>869</v>
      </c>
      <c r="M21" s="522">
        <f>'06'!M54</f>
        <v>0</v>
      </c>
      <c r="N21" s="522">
        <f>'06'!N54</f>
        <v>0</v>
      </c>
      <c r="O21" s="522">
        <f>'06'!O54</f>
        <v>0</v>
      </c>
      <c r="P21" s="522">
        <f>'06'!P54</f>
        <v>0</v>
      </c>
      <c r="Q21" s="522">
        <f>'06'!Q54</f>
        <v>446</v>
      </c>
      <c r="R21" s="522">
        <f>'06'!R54</f>
        <v>1315</v>
      </c>
      <c r="S21" s="523">
        <f t="shared" si="1"/>
        <v>14.215202369200394</v>
      </c>
      <c r="T21" s="523">
        <f t="shared" si="2"/>
        <v>164.9390243902439</v>
      </c>
      <c r="U21" s="524">
        <f t="shared" si="3"/>
        <v>144</v>
      </c>
      <c r="V21" s="524">
        <f t="shared" si="4"/>
        <v>869</v>
      </c>
      <c r="W21" s="522">
        <v>328</v>
      </c>
      <c r="X21" s="524">
        <f t="shared" si="5"/>
        <v>541</v>
      </c>
      <c r="Y21" s="428"/>
      <c r="Z21" s="427"/>
      <c r="AA21" s="428"/>
    </row>
    <row r="22" spans="1:27" ht="15.75">
      <c r="A22" s="483" t="s">
        <v>61</v>
      </c>
      <c r="B22" s="484" t="s">
        <v>435</v>
      </c>
      <c r="C22" s="522">
        <f>'06'!C61</f>
        <v>1563</v>
      </c>
      <c r="D22" s="522">
        <f>'06'!D61</f>
        <v>1160</v>
      </c>
      <c r="E22" s="522">
        <f>'06'!E61</f>
        <v>403</v>
      </c>
      <c r="F22" s="522">
        <f>'06'!F61</f>
        <v>1</v>
      </c>
      <c r="G22" s="522">
        <f>'06'!G61</f>
        <v>0</v>
      </c>
      <c r="H22" s="522">
        <f>'06'!H61</f>
        <v>1562</v>
      </c>
      <c r="I22" s="522">
        <f>'06'!I61</f>
        <v>1065</v>
      </c>
      <c r="J22" s="522">
        <f>'06'!J61</f>
        <v>228</v>
      </c>
      <c r="K22" s="522">
        <f>'06'!K61</f>
        <v>2</v>
      </c>
      <c r="L22" s="522">
        <f>'06'!L61</f>
        <v>834</v>
      </c>
      <c r="M22" s="522">
        <f>'06'!M61</f>
        <v>1</v>
      </c>
      <c r="N22" s="522">
        <f>'06'!N61</f>
        <v>0</v>
      </c>
      <c r="O22" s="522">
        <f>'06'!O61</f>
        <v>0</v>
      </c>
      <c r="P22" s="522">
        <f>'06'!P61</f>
        <v>0</v>
      </c>
      <c r="Q22" s="522">
        <f>'06'!Q61</f>
        <v>497</v>
      </c>
      <c r="R22" s="522">
        <f>'06'!R61</f>
        <v>1332</v>
      </c>
      <c r="S22" s="523">
        <f t="shared" si="1"/>
        <v>21.5962441314554</v>
      </c>
      <c r="T22" s="523">
        <f t="shared" si="2"/>
        <v>192.98245614035088</v>
      </c>
      <c r="U22" s="524">
        <f t="shared" si="3"/>
        <v>230</v>
      </c>
      <c r="V22" s="524">
        <f>L22+M22+N22+O22+P22</f>
        <v>835</v>
      </c>
      <c r="W22" s="522">
        <v>285</v>
      </c>
      <c r="X22" s="524">
        <f t="shared" si="5"/>
        <v>550</v>
      </c>
      <c r="Y22" s="428"/>
      <c r="Z22" s="427"/>
      <c r="AA22" s="428"/>
    </row>
    <row r="23" spans="1:27" ht="15.75">
      <c r="A23" s="483" t="s">
        <v>62</v>
      </c>
      <c r="B23" s="484" t="s">
        <v>434</v>
      </c>
      <c r="C23" s="522">
        <f>'06'!C67</f>
        <v>1527</v>
      </c>
      <c r="D23" s="522">
        <f>'06'!D67</f>
        <v>1390</v>
      </c>
      <c r="E23" s="522">
        <f>'06'!E67</f>
        <v>137</v>
      </c>
      <c r="F23" s="522">
        <f>'06'!F67</f>
        <v>0</v>
      </c>
      <c r="G23" s="522">
        <f>'06'!G67</f>
        <v>0</v>
      </c>
      <c r="H23" s="522">
        <f>'06'!H67</f>
        <v>1527</v>
      </c>
      <c r="I23" s="522">
        <f>'06'!I67</f>
        <v>1059</v>
      </c>
      <c r="J23" s="522">
        <f>'06'!J67</f>
        <v>82</v>
      </c>
      <c r="K23" s="522">
        <f>'06'!K67</f>
        <v>14</v>
      </c>
      <c r="L23" s="522">
        <f>'06'!L67</f>
        <v>962</v>
      </c>
      <c r="M23" s="522">
        <f>'06'!M67</f>
        <v>0</v>
      </c>
      <c r="N23" s="522">
        <f>'06'!N67</f>
        <v>1</v>
      </c>
      <c r="O23" s="522">
        <f>'06'!O67</f>
        <v>0</v>
      </c>
      <c r="P23" s="522">
        <f>'06'!P67</f>
        <v>0</v>
      </c>
      <c r="Q23" s="522">
        <f>'06'!Q67</f>
        <v>468</v>
      </c>
      <c r="R23" s="522">
        <f>'06'!R67</f>
        <v>1431</v>
      </c>
      <c r="S23" s="523">
        <f t="shared" si="1"/>
        <v>9.06515580736544</v>
      </c>
      <c r="T23" s="523">
        <f t="shared" si="2"/>
        <v>108.8937093275488</v>
      </c>
      <c r="U23" s="524">
        <f t="shared" si="3"/>
        <v>96</v>
      </c>
      <c r="V23" s="524">
        <f t="shared" si="4"/>
        <v>963</v>
      </c>
      <c r="W23" s="522">
        <v>461</v>
      </c>
      <c r="X23" s="524">
        <f t="shared" si="5"/>
        <v>502</v>
      </c>
      <c r="Y23" s="428"/>
      <c r="Z23" s="427"/>
      <c r="AA23" s="428"/>
    </row>
    <row r="24" spans="1:27" ht="15.75">
      <c r="A24" s="483" t="s">
        <v>63</v>
      </c>
      <c r="B24" s="484" t="s">
        <v>433</v>
      </c>
      <c r="C24" s="522">
        <f>'06'!C73</f>
        <v>852</v>
      </c>
      <c r="D24" s="522">
        <f>'06'!D73</f>
        <v>613</v>
      </c>
      <c r="E24" s="522">
        <f>'06'!E73</f>
        <v>239</v>
      </c>
      <c r="F24" s="522">
        <f>'06'!F73</f>
        <v>0</v>
      </c>
      <c r="G24" s="522">
        <f>'06'!G73</f>
        <v>0</v>
      </c>
      <c r="H24" s="522">
        <f>'06'!H73</f>
        <v>852</v>
      </c>
      <c r="I24" s="522">
        <f>'06'!I73</f>
        <v>520</v>
      </c>
      <c r="J24" s="522">
        <f>'06'!J73</f>
        <v>146</v>
      </c>
      <c r="K24" s="522">
        <f>'06'!K73</f>
        <v>1</v>
      </c>
      <c r="L24" s="522">
        <f>'06'!L73</f>
        <v>370</v>
      </c>
      <c r="M24" s="522">
        <f>'06'!M73</f>
        <v>2</v>
      </c>
      <c r="N24" s="522">
        <f>'06'!N73</f>
        <v>0</v>
      </c>
      <c r="O24" s="522">
        <f>'06'!O73</f>
        <v>0</v>
      </c>
      <c r="P24" s="522">
        <f>'06'!P73</f>
        <v>1</v>
      </c>
      <c r="Q24" s="522">
        <f>'06'!Q73</f>
        <v>332</v>
      </c>
      <c r="R24" s="522">
        <f>'06'!R73</f>
        <v>705</v>
      </c>
      <c r="S24" s="523">
        <f t="shared" si="1"/>
        <v>28.26923076923077</v>
      </c>
      <c r="T24" s="523">
        <f t="shared" si="2"/>
        <v>44.57364341085272</v>
      </c>
      <c r="U24" s="524">
        <f t="shared" si="3"/>
        <v>147</v>
      </c>
      <c r="V24" s="524">
        <f t="shared" si="4"/>
        <v>373</v>
      </c>
      <c r="W24" s="522">
        <v>258</v>
      </c>
      <c r="X24" s="524">
        <f t="shared" si="5"/>
        <v>115</v>
      </c>
      <c r="Y24" s="428"/>
      <c r="Z24" s="427"/>
      <c r="AA24" s="428"/>
    </row>
    <row r="25" spans="1:24" ht="16.5">
      <c r="A25" s="426"/>
      <c r="B25" s="426"/>
      <c r="C25" s="426"/>
      <c r="D25" s="426"/>
      <c r="E25" s="426"/>
      <c r="F25" s="425"/>
      <c r="G25" s="425"/>
      <c r="H25" s="425"/>
      <c r="I25" s="425"/>
      <c r="J25" s="425"/>
      <c r="K25" s="425"/>
      <c r="L25" s="425"/>
      <c r="M25" s="956" t="str">
        <f>'Thong tin'!B8</f>
        <v>Trà Vinh, ngày 03 tháng12 năm 2019</v>
      </c>
      <c r="N25" s="956"/>
      <c r="O25" s="956"/>
      <c r="P25" s="956"/>
      <c r="Q25" s="956"/>
      <c r="R25" s="956"/>
      <c r="S25" s="956"/>
      <c r="T25" s="455"/>
      <c r="U25" s="455"/>
      <c r="V25" s="480"/>
      <c r="W25" s="455"/>
      <c r="X25" s="455"/>
    </row>
    <row r="26" spans="1:24" ht="16.5">
      <c r="A26" s="424"/>
      <c r="B26" s="947"/>
      <c r="C26" s="947"/>
      <c r="D26" s="947"/>
      <c r="E26" s="947"/>
      <c r="F26" s="423"/>
      <c r="G26" s="423"/>
      <c r="H26" s="423"/>
      <c r="I26" s="423"/>
      <c r="J26" s="423"/>
      <c r="K26" s="423"/>
      <c r="L26" s="423"/>
      <c r="M26" s="423"/>
      <c r="N26" s="948" t="str">
        <f>'Thong tin'!B7</f>
        <v>PHÓ CỤC TRƯỞNG</v>
      </c>
      <c r="O26" s="948"/>
      <c r="P26" s="948"/>
      <c r="Q26" s="948"/>
      <c r="R26" s="948"/>
      <c r="S26" s="948"/>
      <c r="T26" s="456"/>
      <c r="U26" s="456"/>
      <c r="V26" s="456"/>
      <c r="W26" s="456"/>
      <c r="X26" s="456"/>
    </row>
    <row r="27" spans="1:24" ht="16.5">
      <c r="A27" s="393"/>
      <c r="B27" s="947" t="s">
        <v>4</v>
      </c>
      <c r="C27" s="947"/>
      <c r="D27" s="947"/>
      <c r="E27" s="947"/>
      <c r="F27" s="394"/>
      <c r="G27" s="394"/>
      <c r="H27" s="394"/>
      <c r="I27" s="394"/>
      <c r="J27" s="394"/>
      <c r="K27" s="394"/>
      <c r="L27" s="394"/>
      <c r="M27" s="394"/>
      <c r="N27" s="949"/>
      <c r="O27" s="949"/>
      <c r="P27" s="949"/>
      <c r="Q27" s="949"/>
      <c r="R27" s="949"/>
      <c r="S27" s="949"/>
      <c r="T27" s="457"/>
      <c r="U27" s="457"/>
      <c r="V27" s="457"/>
      <c r="W27" s="457"/>
      <c r="X27" s="457"/>
    </row>
    <row r="28" spans="1:24" ht="15.75">
      <c r="A28" s="393"/>
      <c r="B28" s="393"/>
      <c r="C28" s="393"/>
      <c r="D28" s="394"/>
      <c r="E28" s="394"/>
      <c r="F28" s="394"/>
      <c r="G28" s="394"/>
      <c r="H28" s="394"/>
      <c r="I28" s="394"/>
      <c r="J28" s="394"/>
      <c r="K28" s="394"/>
      <c r="L28" s="394"/>
      <c r="M28" s="394"/>
      <c r="N28" s="394"/>
      <c r="O28" s="394"/>
      <c r="P28" s="394"/>
      <c r="Q28" s="394"/>
      <c r="R28" s="393"/>
      <c r="S28" s="393"/>
      <c r="T28" s="393"/>
      <c r="U28" s="393"/>
      <c r="V28" s="393"/>
      <c r="W28" s="393"/>
      <c r="X28" s="393"/>
    </row>
    <row r="29" spans="1:24" ht="15.75">
      <c r="A29" s="393"/>
      <c r="B29" s="393"/>
      <c r="C29" s="393"/>
      <c r="D29" s="394"/>
      <c r="E29" s="394"/>
      <c r="F29" s="394"/>
      <c r="G29" s="394"/>
      <c r="H29" s="394"/>
      <c r="I29" s="394"/>
      <c r="J29" s="394"/>
      <c r="K29" s="394"/>
      <c r="L29" s="394"/>
      <c r="M29" s="394"/>
      <c r="N29" s="394"/>
      <c r="O29" s="394"/>
      <c r="P29" s="394"/>
      <c r="Q29" s="394"/>
      <c r="R29" s="393"/>
      <c r="S29" s="393"/>
      <c r="T29" s="393"/>
      <c r="U29" s="393"/>
      <c r="V29" s="393"/>
      <c r="W29" s="393"/>
      <c r="X29" s="393"/>
    </row>
    <row r="30" spans="1:24" ht="15.75">
      <c r="A30" s="422"/>
      <c r="B30" s="393"/>
      <c r="C30" s="393"/>
      <c r="D30" s="394"/>
      <c r="E30" s="394"/>
      <c r="F30" s="394"/>
      <c r="G30" s="394"/>
      <c r="H30" s="394"/>
      <c r="I30" s="394"/>
      <c r="J30" s="394"/>
      <c r="K30" s="394"/>
      <c r="L30" s="394"/>
      <c r="M30" s="394"/>
      <c r="N30" s="394"/>
      <c r="O30" s="394"/>
      <c r="P30" s="394"/>
      <c r="Q30" s="394"/>
      <c r="R30" s="393"/>
      <c r="S30" s="393"/>
      <c r="T30" s="393"/>
      <c r="U30" s="393"/>
      <c r="V30" s="393"/>
      <c r="W30" s="393"/>
      <c r="X30" s="393"/>
    </row>
    <row r="31" spans="1:24" ht="15.75">
      <c r="A31" s="393"/>
      <c r="B31" s="940"/>
      <c r="C31" s="940"/>
      <c r="D31" s="940"/>
      <c r="E31" s="940"/>
      <c r="F31" s="940"/>
      <c r="G31" s="940"/>
      <c r="H31" s="940"/>
      <c r="I31" s="940"/>
      <c r="J31" s="940"/>
      <c r="K31" s="940"/>
      <c r="L31" s="940"/>
      <c r="M31" s="940"/>
      <c r="N31" s="940"/>
      <c r="O31" s="940"/>
      <c r="P31" s="394"/>
      <c r="Q31" s="394"/>
      <c r="R31" s="393"/>
      <c r="S31" s="393"/>
      <c r="T31" s="393"/>
      <c r="U31" s="393"/>
      <c r="V31" s="393"/>
      <c r="W31" s="393"/>
      <c r="X31" s="393"/>
    </row>
    <row r="32" spans="1:24" ht="15.75">
      <c r="A32" s="393"/>
      <c r="B32" s="421"/>
      <c r="C32" s="421"/>
      <c r="D32" s="421"/>
      <c r="E32" s="421"/>
      <c r="F32" s="421"/>
      <c r="G32" s="421"/>
      <c r="H32" s="421"/>
      <c r="I32" s="421"/>
      <c r="J32" s="421"/>
      <c r="K32" s="421"/>
      <c r="L32" s="421"/>
      <c r="M32" s="421"/>
      <c r="N32" s="421"/>
      <c r="O32" s="421"/>
      <c r="P32" s="394"/>
      <c r="Q32" s="394"/>
      <c r="R32" s="393"/>
      <c r="S32" s="393"/>
      <c r="T32" s="393"/>
      <c r="U32" s="393"/>
      <c r="V32" s="393"/>
      <c r="W32" s="393"/>
      <c r="X32" s="393"/>
    </row>
    <row r="33" spans="1:24" ht="15.75">
      <c r="A33" s="393"/>
      <c r="B33" s="944"/>
      <c r="C33" s="944"/>
      <c r="D33" s="944"/>
      <c r="E33" s="944"/>
      <c r="F33" s="421"/>
      <c r="G33" s="421"/>
      <c r="H33" s="421"/>
      <c r="I33" s="421"/>
      <c r="J33" s="421"/>
      <c r="K33" s="421"/>
      <c r="L33" s="421"/>
      <c r="M33" s="421"/>
      <c r="N33" s="421"/>
      <c r="O33" s="943"/>
      <c r="P33" s="943"/>
      <c r="Q33" s="943"/>
      <c r="R33" s="943"/>
      <c r="S33" s="393"/>
      <c r="T33" s="393"/>
      <c r="U33" s="393"/>
      <c r="V33" s="393"/>
      <c r="W33" s="393"/>
      <c r="X33" s="393"/>
    </row>
    <row r="34" spans="1:24" ht="15.75">
      <c r="A34" s="420"/>
      <c r="B34" s="941" t="str">
        <f>'Thong tin'!B5</f>
        <v>Nhan Quốc Hải</v>
      </c>
      <c r="C34" s="941"/>
      <c r="D34" s="941"/>
      <c r="E34" s="941"/>
      <c r="F34" s="420"/>
      <c r="G34" s="420"/>
      <c r="H34" s="420"/>
      <c r="I34" s="420"/>
      <c r="J34" s="420"/>
      <c r="K34" s="420"/>
      <c r="L34" s="420"/>
      <c r="M34" s="420"/>
      <c r="N34" s="420"/>
      <c r="O34" s="942" t="str">
        <f>'Thong tin'!B6</f>
        <v>Nguyễn Minh Khiêm</v>
      </c>
      <c r="P34" s="942"/>
      <c r="Q34" s="942"/>
      <c r="R34" s="942"/>
      <c r="S34" s="393"/>
      <c r="T34" s="393"/>
      <c r="U34" s="393"/>
      <c r="V34" s="393"/>
      <c r="W34" s="393"/>
      <c r="X34" s="393"/>
    </row>
  </sheetData>
  <sheetProtection/>
  <mergeCells count="52">
    <mergeCell ref="P5:S5"/>
    <mergeCell ref="E2:O2"/>
    <mergeCell ref="P2:S2"/>
    <mergeCell ref="A3:D3"/>
    <mergeCell ref="E3:O3"/>
    <mergeCell ref="P3:S3"/>
    <mergeCell ref="A4:D4"/>
    <mergeCell ref="E4:O4"/>
    <mergeCell ref="P4:S4"/>
    <mergeCell ref="P6:S6"/>
    <mergeCell ref="A7:B11"/>
    <mergeCell ref="C7:E7"/>
    <mergeCell ref="F7:F11"/>
    <mergeCell ref="G7:G11"/>
    <mergeCell ref="H7:Q7"/>
    <mergeCell ref="R7:R11"/>
    <mergeCell ref="C8:C11"/>
    <mergeCell ref="J10:J11"/>
    <mergeCell ref="K10:K11"/>
    <mergeCell ref="A12:B12"/>
    <mergeCell ref="M25:S25"/>
    <mergeCell ref="D8:E9"/>
    <mergeCell ref="H8:H11"/>
    <mergeCell ref="I8:P8"/>
    <mergeCell ref="Q8:Q11"/>
    <mergeCell ref="I9:I11"/>
    <mergeCell ref="J9:P9"/>
    <mergeCell ref="D10:D11"/>
    <mergeCell ref="E10:E11"/>
    <mergeCell ref="N27:S27"/>
    <mergeCell ref="L10:L11"/>
    <mergeCell ref="M10:M11"/>
    <mergeCell ref="N10:N11"/>
    <mergeCell ref="O10:O11"/>
    <mergeCell ref="P10:P11"/>
    <mergeCell ref="S7:S11"/>
    <mergeCell ref="B31:O31"/>
    <mergeCell ref="B34:E34"/>
    <mergeCell ref="O34:R34"/>
    <mergeCell ref="O33:R33"/>
    <mergeCell ref="B33:E33"/>
    <mergeCell ref="Y7:Y11"/>
    <mergeCell ref="A13:B13"/>
    <mergeCell ref="B26:E26"/>
    <mergeCell ref="N26:S26"/>
    <mergeCell ref="B27:E27"/>
    <mergeCell ref="T7:T11"/>
    <mergeCell ref="U7:U11"/>
    <mergeCell ref="V7:V11"/>
    <mergeCell ref="W7:W11"/>
    <mergeCell ref="X7:X11"/>
    <mergeCell ref="Z7:Z11"/>
  </mergeCells>
  <printOptions/>
  <pageMargins left="0" right="0" top="0.75" bottom="0" header="0.3" footer="0.05"/>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A33"/>
  <sheetViews>
    <sheetView view="pageBreakPreview" zoomScale="130" zoomScaleNormal="80" zoomScaleSheetLayoutView="130" zoomScalePageLayoutView="0" workbookViewId="0" topLeftCell="A11">
      <selection activeCell="D21" sqref="D21"/>
    </sheetView>
  </sheetViews>
  <sheetFormatPr defaultColWidth="9.00390625" defaultRowHeight="15.75"/>
  <cols>
    <col min="1" max="1" width="3.125" style="0" customWidth="1"/>
    <col min="2" max="2" width="6.50390625" style="0" customWidth="1"/>
    <col min="3" max="11" width="6.625" style="0" customWidth="1"/>
    <col min="12" max="12" width="5.00390625" style="0" customWidth="1"/>
    <col min="13" max="15" width="6.625" style="0" customWidth="1"/>
    <col min="16" max="16" width="5.125" style="0" customWidth="1"/>
    <col min="17" max="20" width="6.625" style="0" customWidth="1"/>
    <col min="21" max="21" width="3.75390625" style="0" customWidth="1"/>
    <col min="22" max="22" width="5.25390625" style="0" customWidth="1"/>
    <col min="23" max="23" width="5.625" style="0" customWidth="1"/>
    <col min="24" max="25" width="6.00390625" style="0" customWidth="1"/>
  </cols>
  <sheetData>
    <row r="1" spans="1:26" ht="16.5">
      <c r="A1" s="394" t="s">
        <v>523</v>
      </c>
      <c r="B1" s="394"/>
      <c r="C1" s="394"/>
      <c r="D1" s="393"/>
      <c r="E1" s="985" t="s">
        <v>522</v>
      </c>
      <c r="F1" s="985"/>
      <c r="G1" s="985"/>
      <c r="H1" s="985"/>
      <c r="I1" s="985"/>
      <c r="J1" s="985"/>
      <c r="K1" s="985"/>
      <c r="L1" s="985"/>
      <c r="M1" s="985"/>
      <c r="N1" s="985"/>
      <c r="O1" s="985"/>
      <c r="P1" s="985"/>
      <c r="Q1" s="1019" t="s">
        <v>424</v>
      </c>
      <c r="R1" s="1019"/>
      <c r="S1" s="1019"/>
      <c r="T1" s="1019"/>
      <c r="U1" s="462"/>
      <c r="V1" s="462"/>
      <c r="W1" s="462"/>
      <c r="X1" s="462"/>
      <c r="Y1" s="462"/>
      <c r="Z1" s="393"/>
    </row>
    <row r="2" spans="1:26" ht="16.5">
      <c r="A2" s="987" t="s">
        <v>240</v>
      </c>
      <c r="B2" s="987"/>
      <c r="C2" s="987"/>
      <c r="D2" s="987"/>
      <c r="E2" s="988" t="s">
        <v>34</v>
      </c>
      <c r="F2" s="988"/>
      <c r="G2" s="988"/>
      <c r="H2" s="988"/>
      <c r="I2" s="988"/>
      <c r="J2" s="988"/>
      <c r="K2" s="988"/>
      <c r="L2" s="988"/>
      <c r="M2" s="988"/>
      <c r="N2" s="988"/>
      <c r="O2" s="988"/>
      <c r="P2" s="988"/>
      <c r="Q2" s="1022" t="s">
        <v>519</v>
      </c>
      <c r="R2" s="1022"/>
      <c r="S2" s="1022"/>
      <c r="T2" s="1022"/>
      <c r="U2" s="461"/>
      <c r="V2" s="461"/>
      <c r="W2" s="461"/>
      <c r="X2" s="461"/>
      <c r="Y2" s="461"/>
      <c r="Z2" s="393"/>
    </row>
    <row r="3" spans="1:26" ht="16.5">
      <c r="A3" s="987" t="s">
        <v>241</v>
      </c>
      <c r="B3" s="987"/>
      <c r="C3" s="987"/>
      <c r="D3" s="987"/>
      <c r="E3" s="989" t="str">
        <f>'Thong tin'!B3</f>
        <v>02 tháng / năm 2020</v>
      </c>
      <c r="F3" s="1024"/>
      <c r="G3" s="1024"/>
      <c r="H3" s="1024"/>
      <c r="I3" s="1024"/>
      <c r="J3" s="1024"/>
      <c r="K3" s="1024"/>
      <c r="L3" s="1024"/>
      <c r="M3" s="1024"/>
      <c r="N3" s="1024"/>
      <c r="O3" s="1024"/>
      <c r="P3" s="1024"/>
      <c r="Q3" s="1019" t="s">
        <v>443</v>
      </c>
      <c r="R3" s="1019"/>
      <c r="S3" s="1019"/>
      <c r="T3" s="1019"/>
      <c r="U3" s="462"/>
      <c r="V3" s="462"/>
      <c r="W3" s="462"/>
      <c r="X3" s="462"/>
      <c r="Y3" s="462"/>
      <c r="Z3" s="393"/>
    </row>
    <row r="4" spans="1:26" ht="15.75">
      <c r="A4" s="394" t="s">
        <v>518</v>
      </c>
      <c r="B4" s="394"/>
      <c r="C4" s="394"/>
      <c r="D4" s="394"/>
      <c r="E4" s="394"/>
      <c r="F4" s="394"/>
      <c r="G4" s="394"/>
      <c r="H4" s="394"/>
      <c r="I4" s="394"/>
      <c r="J4" s="394"/>
      <c r="K4" s="394"/>
      <c r="L4" s="394"/>
      <c r="M4" s="394"/>
      <c r="N4" s="394"/>
      <c r="O4" s="432"/>
      <c r="P4" s="432"/>
      <c r="Q4" s="1022" t="s">
        <v>517</v>
      </c>
      <c r="R4" s="1022"/>
      <c r="S4" s="1022"/>
      <c r="T4" s="1022"/>
      <c r="U4" s="461"/>
      <c r="V4" s="461"/>
      <c r="W4" s="461"/>
      <c r="X4" s="461"/>
      <c r="Y4" s="461"/>
      <c r="Z4" s="393"/>
    </row>
    <row r="5" spans="1:26" ht="15.75">
      <c r="A5" s="393"/>
      <c r="B5" s="431"/>
      <c r="C5" s="431"/>
      <c r="D5" s="393"/>
      <c r="E5" s="393"/>
      <c r="F5" s="393"/>
      <c r="G5" s="393"/>
      <c r="H5" s="393"/>
      <c r="I5" s="393"/>
      <c r="J5" s="393"/>
      <c r="K5" s="393"/>
      <c r="L5" s="393"/>
      <c r="M5" s="393"/>
      <c r="N5" s="393"/>
      <c r="O5" s="393"/>
      <c r="P5" s="393"/>
      <c r="Q5" s="1023" t="s">
        <v>425</v>
      </c>
      <c r="R5" s="1023"/>
      <c r="S5" s="1023"/>
      <c r="T5" s="1023"/>
      <c r="U5" s="477"/>
      <c r="V5" s="477"/>
      <c r="W5" s="477"/>
      <c r="X5" s="477"/>
      <c r="Y5" s="477"/>
      <c r="Z5" s="393"/>
    </row>
    <row r="6" spans="1:26" ht="15.75">
      <c r="A6" s="1001" t="s">
        <v>57</v>
      </c>
      <c r="B6" s="1001"/>
      <c r="C6" s="1006" t="s">
        <v>121</v>
      </c>
      <c r="D6" s="1007"/>
      <c r="E6" s="1008"/>
      <c r="F6" s="994" t="s">
        <v>101</v>
      </c>
      <c r="G6" s="1002" t="s">
        <v>122</v>
      </c>
      <c r="H6" s="1016" t="s">
        <v>102</v>
      </c>
      <c r="I6" s="1017"/>
      <c r="J6" s="1017"/>
      <c r="K6" s="1017"/>
      <c r="L6" s="1017"/>
      <c r="M6" s="1017"/>
      <c r="N6" s="1017"/>
      <c r="O6" s="1017"/>
      <c r="P6" s="1017"/>
      <c r="Q6" s="1017"/>
      <c r="R6" s="1018"/>
      <c r="S6" s="1012" t="s">
        <v>245</v>
      </c>
      <c r="T6" s="992" t="s">
        <v>521</v>
      </c>
      <c r="U6" s="992" t="s">
        <v>515</v>
      </c>
      <c r="V6" s="992" t="s">
        <v>514</v>
      </c>
      <c r="W6" s="999" t="s">
        <v>576</v>
      </c>
      <c r="X6" s="999" t="s">
        <v>538</v>
      </c>
      <c r="Y6" s="999" t="s">
        <v>539</v>
      </c>
      <c r="Z6" s="393"/>
    </row>
    <row r="7" spans="1:26" ht="15.75">
      <c r="A7" s="1001"/>
      <c r="B7" s="1001"/>
      <c r="C7" s="1012" t="s">
        <v>42</v>
      </c>
      <c r="D7" s="1013" t="s">
        <v>7</v>
      </c>
      <c r="E7" s="1009"/>
      <c r="F7" s="995"/>
      <c r="G7" s="1004"/>
      <c r="H7" s="1002" t="s">
        <v>31</v>
      </c>
      <c r="I7" s="1013" t="s">
        <v>103</v>
      </c>
      <c r="J7" s="1014"/>
      <c r="K7" s="1014"/>
      <c r="L7" s="1014"/>
      <c r="M7" s="1014"/>
      <c r="N7" s="1014"/>
      <c r="O7" s="1014"/>
      <c r="P7" s="1014"/>
      <c r="Q7" s="1015"/>
      <c r="R7" s="1009" t="s">
        <v>123</v>
      </c>
      <c r="S7" s="1004"/>
      <c r="T7" s="992"/>
      <c r="U7" s="998"/>
      <c r="V7" s="998"/>
      <c r="W7" s="1000"/>
      <c r="X7" s="1000"/>
      <c r="Y7" s="999"/>
      <c r="Z7" s="393"/>
    </row>
    <row r="8" spans="1:26" ht="15.75">
      <c r="A8" s="1001"/>
      <c r="B8" s="1001"/>
      <c r="C8" s="1004"/>
      <c r="D8" s="996"/>
      <c r="E8" s="1011"/>
      <c r="F8" s="995"/>
      <c r="G8" s="1004"/>
      <c r="H8" s="1004"/>
      <c r="I8" s="1002" t="s">
        <v>31</v>
      </c>
      <c r="J8" s="1020" t="s">
        <v>7</v>
      </c>
      <c r="K8" s="1021"/>
      <c r="L8" s="1021"/>
      <c r="M8" s="1021"/>
      <c r="N8" s="1021"/>
      <c r="O8" s="1021"/>
      <c r="P8" s="1021"/>
      <c r="Q8" s="993"/>
      <c r="R8" s="1010"/>
      <c r="S8" s="1004"/>
      <c r="T8" s="992"/>
      <c r="U8" s="998"/>
      <c r="V8" s="998"/>
      <c r="W8" s="1000"/>
      <c r="X8" s="1000"/>
      <c r="Y8" s="999"/>
      <c r="Z8" s="393"/>
    </row>
    <row r="9" spans="1:26" ht="15.75">
      <c r="A9" s="1001"/>
      <c r="B9" s="1001"/>
      <c r="C9" s="1004"/>
      <c r="D9" s="1012" t="s">
        <v>124</v>
      </c>
      <c r="E9" s="1012" t="s">
        <v>125</v>
      </c>
      <c r="F9" s="995"/>
      <c r="G9" s="1004"/>
      <c r="H9" s="1004"/>
      <c r="I9" s="1004"/>
      <c r="J9" s="993" t="s">
        <v>126</v>
      </c>
      <c r="K9" s="992" t="s">
        <v>127</v>
      </c>
      <c r="L9" s="992" t="s">
        <v>119</v>
      </c>
      <c r="M9" s="998" t="s">
        <v>105</v>
      </c>
      <c r="N9" s="1002" t="s">
        <v>128</v>
      </c>
      <c r="O9" s="1002" t="s">
        <v>108</v>
      </c>
      <c r="P9" s="1002" t="s">
        <v>246</v>
      </c>
      <c r="Q9" s="1002" t="s">
        <v>111</v>
      </c>
      <c r="R9" s="1010"/>
      <c r="S9" s="1004"/>
      <c r="T9" s="992"/>
      <c r="U9" s="998"/>
      <c r="V9" s="998"/>
      <c r="W9" s="1000"/>
      <c r="X9" s="1000"/>
      <c r="Y9" s="999"/>
      <c r="Z9" s="503"/>
    </row>
    <row r="10" spans="1:26" ht="15.75">
      <c r="A10" s="1001"/>
      <c r="B10" s="1001"/>
      <c r="C10" s="1003"/>
      <c r="D10" s="1003"/>
      <c r="E10" s="1003"/>
      <c r="F10" s="996"/>
      <c r="G10" s="1003"/>
      <c r="H10" s="1003"/>
      <c r="I10" s="1003"/>
      <c r="J10" s="993"/>
      <c r="K10" s="992"/>
      <c r="L10" s="992"/>
      <c r="M10" s="998"/>
      <c r="N10" s="1003"/>
      <c r="O10" s="1003" t="s">
        <v>108</v>
      </c>
      <c r="P10" s="1003" t="s">
        <v>246</v>
      </c>
      <c r="Q10" s="1003" t="s">
        <v>111</v>
      </c>
      <c r="R10" s="1011"/>
      <c r="S10" s="1003"/>
      <c r="T10" s="992"/>
      <c r="U10" s="998"/>
      <c r="V10" s="998"/>
      <c r="W10" s="1000"/>
      <c r="X10" s="1000"/>
      <c r="Y10" s="999"/>
      <c r="Z10" s="393"/>
    </row>
    <row r="11" spans="1:26" ht="15.75">
      <c r="A11" s="1005" t="s">
        <v>6</v>
      </c>
      <c r="B11" s="1005"/>
      <c r="C11" s="481" t="s">
        <v>43</v>
      </c>
      <c r="D11" s="481" t="s">
        <v>44</v>
      </c>
      <c r="E11" s="481" t="s">
        <v>49</v>
      </c>
      <c r="F11" s="481" t="s">
        <v>58</v>
      </c>
      <c r="G11" s="481" t="s">
        <v>59</v>
      </c>
      <c r="H11" s="481" t="s">
        <v>60</v>
      </c>
      <c r="I11" s="481" t="s">
        <v>61</v>
      </c>
      <c r="J11" s="481" t="s">
        <v>62</v>
      </c>
      <c r="K11" s="481" t="s">
        <v>63</v>
      </c>
      <c r="L11" s="481" t="s">
        <v>83</v>
      </c>
      <c r="M11" s="481" t="s">
        <v>84</v>
      </c>
      <c r="N11" s="481" t="s">
        <v>85</v>
      </c>
      <c r="O11" s="481" t="s">
        <v>86</v>
      </c>
      <c r="P11" s="481" t="s">
        <v>87</v>
      </c>
      <c r="Q11" s="481" t="s">
        <v>248</v>
      </c>
      <c r="R11" s="481" t="s">
        <v>513</v>
      </c>
      <c r="S11" s="481" t="s">
        <v>512</v>
      </c>
      <c r="T11" s="481" t="s">
        <v>511</v>
      </c>
      <c r="U11" s="481" t="s">
        <v>526</v>
      </c>
      <c r="V11" s="481" t="s">
        <v>527</v>
      </c>
      <c r="W11" s="481" t="s">
        <v>528</v>
      </c>
      <c r="X11" s="481" t="s">
        <v>529</v>
      </c>
      <c r="Y11" s="481" t="s">
        <v>530</v>
      </c>
      <c r="Z11" s="393"/>
    </row>
    <row r="12" spans="1:26" ht="15.75">
      <c r="A12" s="992" t="s">
        <v>30</v>
      </c>
      <c r="B12" s="992"/>
      <c r="C12" s="479">
        <f>D12+E12</f>
        <v>883531800</v>
      </c>
      <c r="D12" s="479">
        <f aca="true" t="shared" si="0" ref="D12:L12">D13+D14</f>
        <v>706925899</v>
      </c>
      <c r="E12" s="479">
        <f t="shared" si="0"/>
        <v>176605901</v>
      </c>
      <c r="F12" s="479">
        <f t="shared" si="0"/>
        <v>1212918</v>
      </c>
      <c r="G12" s="479">
        <f t="shared" si="0"/>
        <v>56528</v>
      </c>
      <c r="H12" s="479">
        <f t="shared" si="0"/>
        <v>882318882</v>
      </c>
      <c r="I12" s="479">
        <f t="shared" si="0"/>
        <v>556716725</v>
      </c>
      <c r="J12" s="479">
        <f t="shared" si="0"/>
        <v>28781280</v>
      </c>
      <c r="K12" s="479">
        <f t="shared" si="0"/>
        <v>3812689</v>
      </c>
      <c r="L12" s="479">
        <f t="shared" si="0"/>
        <v>0</v>
      </c>
      <c r="M12" s="479">
        <f aca="true" t="shared" si="1" ref="M12:S12">M13+M14</f>
        <v>488671412</v>
      </c>
      <c r="N12" s="479">
        <f t="shared" si="1"/>
        <v>2502735</v>
      </c>
      <c r="O12" s="479">
        <f t="shared" si="1"/>
        <v>56600</v>
      </c>
      <c r="P12" s="479">
        <f t="shared" si="1"/>
        <v>0</v>
      </c>
      <c r="Q12" s="479">
        <f t="shared" si="1"/>
        <v>32892009</v>
      </c>
      <c r="R12" s="479">
        <f t="shared" si="1"/>
        <v>325602157</v>
      </c>
      <c r="S12" s="479">
        <f t="shared" si="1"/>
        <v>849724913</v>
      </c>
      <c r="T12" s="478">
        <f aca="true" t="shared" si="2" ref="T12:T23">(((J12+K12+L12))/I12)*100</f>
        <v>5.854677529222784</v>
      </c>
      <c r="U12" s="525">
        <f>(((M12+N12+O12+P12+Q12)-X12)/X12)*100</f>
        <v>93.26309172093026</v>
      </c>
      <c r="V12" s="526">
        <f>+J12+K12+L12</f>
        <v>32593969</v>
      </c>
      <c r="W12" s="526">
        <f>+M12+N12+O12+P12+Q12</f>
        <v>524122756</v>
      </c>
      <c r="X12" s="526">
        <f>+X13+X14</f>
        <v>271196508</v>
      </c>
      <c r="Y12" s="526">
        <f>+W12-X12</f>
        <v>252926248</v>
      </c>
      <c r="Z12" s="438"/>
    </row>
    <row r="13" spans="1:27" ht="15.75">
      <c r="A13" s="483" t="s">
        <v>0</v>
      </c>
      <c r="B13" s="484" t="s">
        <v>442</v>
      </c>
      <c r="C13" s="479">
        <f>'07'!C12</f>
        <v>123216880</v>
      </c>
      <c r="D13" s="479">
        <f>'07'!D12</f>
        <v>100272090</v>
      </c>
      <c r="E13" s="479">
        <f>'07'!E12</f>
        <v>22944790</v>
      </c>
      <c r="F13" s="479">
        <f>'07'!F12</f>
        <v>300</v>
      </c>
      <c r="G13" s="479">
        <f>'07'!G12</f>
        <v>28264</v>
      </c>
      <c r="H13" s="479">
        <f>'07'!H12</f>
        <v>123216580</v>
      </c>
      <c r="I13" s="479">
        <f>'07'!I12</f>
        <v>72455032</v>
      </c>
      <c r="J13" s="479">
        <f>'07'!J12</f>
        <v>3411560</v>
      </c>
      <c r="K13" s="479">
        <f>'07'!K12</f>
        <v>438005</v>
      </c>
      <c r="L13" s="479">
        <f>'07'!L12</f>
        <v>0</v>
      </c>
      <c r="M13" s="479">
        <f>'07'!M12</f>
        <v>67740146</v>
      </c>
      <c r="N13" s="479">
        <f>'07'!N12</f>
        <v>633931</v>
      </c>
      <c r="O13" s="479">
        <f>'07'!O12</f>
        <v>23750</v>
      </c>
      <c r="P13" s="479">
        <f>'07'!P12</f>
        <v>0</v>
      </c>
      <c r="Q13" s="479">
        <f>'07'!Q12</f>
        <v>207640</v>
      </c>
      <c r="R13" s="479">
        <f>'07'!R12</f>
        <v>50761548</v>
      </c>
      <c r="S13" s="479">
        <f>'07'!S12</f>
        <v>119367015</v>
      </c>
      <c r="T13" s="478">
        <f t="shared" si="2"/>
        <v>5.3130402316294605</v>
      </c>
      <c r="U13" s="525">
        <f aca="true" t="shared" si="3" ref="U13:U23">(((M13+N13+O13+P13+Q13)-X13)/X13)*100</f>
        <v>-1.398567116283074</v>
      </c>
      <c r="V13" s="526">
        <f aca="true" t="shared" si="4" ref="V13:V23">+J13+K13+L13</f>
        <v>3849565</v>
      </c>
      <c r="W13" s="526">
        <f>+M13+N13+O13+P13+Q13</f>
        <v>68605467</v>
      </c>
      <c r="X13" s="482">
        <v>69578570</v>
      </c>
      <c r="Y13" s="526">
        <f aca="true" t="shared" si="5" ref="Y13:Y23">+W13-X13</f>
        <v>-973103</v>
      </c>
      <c r="Z13" s="566">
        <f aca="true" t="shared" si="6" ref="Z13:Z23">C13-(F13+G13+H13)</f>
        <v>-28264</v>
      </c>
      <c r="AA13" s="567"/>
    </row>
    <row r="14" spans="1:27" ht="15.75">
      <c r="A14" s="483" t="s">
        <v>1</v>
      </c>
      <c r="B14" s="484" t="s">
        <v>17</v>
      </c>
      <c r="C14" s="479">
        <f>SUM(C15:C23)</f>
        <v>760314920</v>
      </c>
      <c r="D14" s="479">
        <f>SUM(D15:D23)</f>
        <v>606653809</v>
      </c>
      <c r="E14" s="479">
        <f>SUM(E15:E23)</f>
        <v>153661111</v>
      </c>
      <c r="F14" s="479">
        <f>SUM(F15:F23)</f>
        <v>1212618</v>
      </c>
      <c r="G14" s="479">
        <f>SUM(G15:G23)</f>
        <v>28264</v>
      </c>
      <c r="H14" s="479">
        <f>I14+R14</f>
        <v>759102302</v>
      </c>
      <c r="I14" s="479">
        <f>SUM(J14:Q14)</f>
        <v>484261693</v>
      </c>
      <c r="J14" s="479">
        <f aca="true" t="shared" si="7" ref="J14:R14">SUM(J15:J23)</f>
        <v>25369720</v>
      </c>
      <c r="K14" s="479">
        <f t="shared" si="7"/>
        <v>3374684</v>
      </c>
      <c r="L14" s="479">
        <f t="shared" si="7"/>
        <v>0</v>
      </c>
      <c r="M14" s="479">
        <f t="shared" si="7"/>
        <v>420931266</v>
      </c>
      <c r="N14" s="479">
        <f t="shared" si="7"/>
        <v>1868804</v>
      </c>
      <c r="O14" s="479">
        <f t="shared" si="7"/>
        <v>32850</v>
      </c>
      <c r="P14" s="479">
        <f t="shared" si="7"/>
        <v>0</v>
      </c>
      <c r="Q14" s="479">
        <f t="shared" si="7"/>
        <v>32684369</v>
      </c>
      <c r="R14" s="479">
        <f t="shared" si="7"/>
        <v>274840609</v>
      </c>
      <c r="S14" s="479">
        <f>SUM(M14:R14)</f>
        <v>730357898</v>
      </c>
      <c r="T14" s="478">
        <f t="shared" si="2"/>
        <v>5.935717075188931</v>
      </c>
      <c r="U14" s="525">
        <f t="shared" si="3"/>
        <v>125.93093328828708</v>
      </c>
      <c r="V14" s="526">
        <f t="shared" si="4"/>
        <v>28744404</v>
      </c>
      <c r="W14" s="526">
        <f aca="true" t="shared" si="8" ref="W14:W23">+M14+N14+O14+P14+Q14</f>
        <v>455517289</v>
      </c>
      <c r="X14" s="479">
        <f>+X15+X16+X17+X18+X19+X20+X21+X22+X23</f>
        <v>201617938</v>
      </c>
      <c r="Y14" s="479">
        <f>+Y15+Y16+Y17+Y18+Y19+Y20+Y21+Y22+Y23</f>
        <v>253899351</v>
      </c>
      <c r="Z14" s="566">
        <f t="shared" si="6"/>
        <v>-28264</v>
      </c>
      <c r="AA14" s="567"/>
    </row>
    <row r="15" spans="1:27" ht="15.75">
      <c r="A15" s="483" t="s">
        <v>43</v>
      </c>
      <c r="B15" s="484" t="s">
        <v>441</v>
      </c>
      <c r="C15" s="479">
        <f>'07'!C23</f>
        <v>160559366</v>
      </c>
      <c r="D15" s="479">
        <f>'07'!D23</f>
        <v>146043059</v>
      </c>
      <c r="E15" s="479">
        <f>'07'!E23</f>
        <v>14516307</v>
      </c>
      <c r="F15" s="479">
        <f>'07'!F23</f>
        <v>0</v>
      </c>
      <c r="G15" s="479">
        <f>'07'!G23</f>
        <v>28264</v>
      </c>
      <c r="H15" s="479">
        <f>'07'!H23</f>
        <v>160559366</v>
      </c>
      <c r="I15" s="479">
        <f>'07'!I23</f>
        <v>77233134</v>
      </c>
      <c r="J15" s="479">
        <f>'07'!J23</f>
        <v>11936504</v>
      </c>
      <c r="K15" s="479">
        <f>'07'!K23</f>
        <v>348120</v>
      </c>
      <c r="L15" s="479">
        <f>'07'!L23</f>
        <v>0</v>
      </c>
      <c r="M15" s="479">
        <f>'07'!M23</f>
        <v>63502005</v>
      </c>
      <c r="N15" s="479">
        <f>'07'!N23</f>
        <v>1176034</v>
      </c>
      <c r="O15" s="479">
        <f>'07'!O23</f>
        <v>0</v>
      </c>
      <c r="P15" s="479">
        <f>'07'!P23</f>
        <v>0</v>
      </c>
      <c r="Q15" s="479">
        <f>'07'!Q23</f>
        <v>270471</v>
      </c>
      <c r="R15" s="479">
        <f>'07'!R23</f>
        <v>83326232</v>
      </c>
      <c r="S15" s="479">
        <f>'07'!S23</f>
        <v>148274742</v>
      </c>
      <c r="T15" s="478">
        <f t="shared" si="2"/>
        <v>15.905898626358992</v>
      </c>
      <c r="U15" s="525">
        <f t="shared" si="3"/>
        <v>-8.477683331719854</v>
      </c>
      <c r="V15" s="526">
        <f t="shared" si="4"/>
        <v>12284624</v>
      </c>
      <c r="W15" s="526">
        <f t="shared" si="8"/>
        <v>64948510</v>
      </c>
      <c r="X15" s="482">
        <v>70964670</v>
      </c>
      <c r="Y15" s="526">
        <f t="shared" si="5"/>
        <v>-6016160</v>
      </c>
      <c r="Z15" s="566">
        <f t="shared" si="6"/>
        <v>-28264</v>
      </c>
      <c r="AA15" s="567"/>
    </row>
    <row r="16" spans="1:27" ht="15.75">
      <c r="A16" s="483" t="s">
        <v>44</v>
      </c>
      <c r="B16" s="485" t="s">
        <v>440</v>
      </c>
      <c r="C16" s="479">
        <f>'07'!C31</f>
        <v>85348558</v>
      </c>
      <c r="D16" s="479">
        <f>'07'!D31</f>
        <v>70734376</v>
      </c>
      <c r="E16" s="479">
        <f>'07'!E31</f>
        <v>14614182</v>
      </c>
      <c r="F16" s="479">
        <f>'07'!F31</f>
        <v>1189766</v>
      </c>
      <c r="G16" s="479">
        <f>'07'!G31</f>
        <v>0</v>
      </c>
      <c r="H16" s="479">
        <f>'07'!H31</f>
        <v>84158792</v>
      </c>
      <c r="I16" s="479">
        <f>'07'!I31</f>
        <v>63442387</v>
      </c>
      <c r="J16" s="479">
        <f>'07'!J31</f>
        <v>2210498</v>
      </c>
      <c r="K16" s="479">
        <f>'07'!K31</f>
        <v>317895</v>
      </c>
      <c r="L16" s="479">
        <f>'07'!L31</f>
        <v>0</v>
      </c>
      <c r="M16" s="479">
        <f>'07'!M31</f>
        <v>60913994</v>
      </c>
      <c r="N16" s="479">
        <f>'07'!N31</f>
        <v>0</v>
      </c>
      <c r="O16" s="479">
        <f>'07'!O31</f>
        <v>0</v>
      </c>
      <c r="P16" s="479">
        <f>'07'!P31</f>
        <v>0</v>
      </c>
      <c r="Q16" s="479">
        <f>'07'!Q31</f>
        <v>0</v>
      </c>
      <c r="R16" s="479">
        <f>'07'!R31</f>
        <v>20716405</v>
      </c>
      <c r="S16" s="479">
        <f>'07'!S31</f>
        <v>81630399</v>
      </c>
      <c r="T16" s="478">
        <f t="shared" si="2"/>
        <v>3.9853371216943647</v>
      </c>
      <c r="U16" s="525">
        <f t="shared" si="3"/>
        <v>176.0619621710689</v>
      </c>
      <c r="V16" s="526">
        <f t="shared" si="4"/>
        <v>2528393</v>
      </c>
      <c r="W16" s="526">
        <f t="shared" si="8"/>
        <v>60913994</v>
      </c>
      <c r="X16" s="482">
        <v>22065334</v>
      </c>
      <c r="Y16" s="526">
        <f t="shared" si="5"/>
        <v>38848660</v>
      </c>
      <c r="Z16" s="566">
        <f t="shared" si="6"/>
        <v>0</v>
      </c>
      <c r="AA16" s="567"/>
    </row>
    <row r="17" spans="1:27" ht="15.75">
      <c r="A17" s="483" t="s">
        <v>49</v>
      </c>
      <c r="B17" s="484" t="s">
        <v>439</v>
      </c>
      <c r="C17" s="479">
        <f>'07'!C37</f>
        <v>45394415</v>
      </c>
      <c r="D17" s="479">
        <f>'07'!D37</f>
        <v>40482002</v>
      </c>
      <c r="E17" s="479">
        <f>'07'!E37</f>
        <v>4912413</v>
      </c>
      <c r="F17" s="479">
        <f>'07'!F37</f>
        <v>0</v>
      </c>
      <c r="G17" s="479">
        <f>'07'!G37</f>
        <v>0</v>
      </c>
      <c r="H17" s="479">
        <f>'07'!H37</f>
        <v>45394415</v>
      </c>
      <c r="I17" s="479">
        <f>'07'!I37</f>
        <v>18829220</v>
      </c>
      <c r="J17" s="479">
        <f>'07'!J37</f>
        <v>1002165</v>
      </c>
      <c r="K17" s="479">
        <f>'07'!K37</f>
        <v>164840</v>
      </c>
      <c r="L17" s="479">
        <f>'07'!L37</f>
        <v>0</v>
      </c>
      <c r="M17" s="479">
        <f>'07'!M37</f>
        <v>17659362</v>
      </c>
      <c r="N17" s="479">
        <f>'07'!N37</f>
        <v>2853</v>
      </c>
      <c r="O17" s="479">
        <f>'07'!O37</f>
        <v>0</v>
      </c>
      <c r="P17" s="479">
        <f>'07'!P37</f>
        <v>0</v>
      </c>
      <c r="Q17" s="479">
        <f>'07'!Q37</f>
        <v>0</v>
      </c>
      <c r="R17" s="479">
        <f>'07'!R37</f>
        <v>26565195</v>
      </c>
      <c r="S17" s="479">
        <f>'07'!S37</f>
        <v>44227410</v>
      </c>
      <c r="T17" s="478">
        <f t="shared" si="2"/>
        <v>6.197840377880762</v>
      </c>
      <c r="U17" s="525">
        <f t="shared" si="3"/>
        <v>53.55898746894972</v>
      </c>
      <c r="V17" s="526">
        <f t="shared" si="4"/>
        <v>1167005</v>
      </c>
      <c r="W17" s="526">
        <f t="shared" si="8"/>
        <v>17662215</v>
      </c>
      <c r="X17" s="482">
        <v>11501909</v>
      </c>
      <c r="Y17" s="526">
        <f t="shared" si="5"/>
        <v>6160306</v>
      </c>
      <c r="Z17" s="566">
        <f t="shared" si="6"/>
        <v>0</v>
      </c>
      <c r="AA17" s="567"/>
    </row>
    <row r="18" spans="1:27" ht="15.75">
      <c r="A18" s="483" t="s">
        <v>58</v>
      </c>
      <c r="B18" s="484" t="s">
        <v>438</v>
      </c>
      <c r="C18" s="479">
        <f>'07'!C43</f>
        <v>32411748</v>
      </c>
      <c r="D18" s="479">
        <f>'07'!D43</f>
        <v>27522167</v>
      </c>
      <c r="E18" s="479">
        <f>'07'!E43</f>
        <v>4889581</v>
      </c>
      <c r="F18" s="479">
        <f>'07'!F43</f>
        <v>0</v>
      </c>
      <c r="G18" s="479">
        <f>'07'!G43</f>
        <v>0</v>
      </c>
      <c r="H18" s="479">
        <f>'07'!H43</f>
        <v>32411748</v>
      </c>
      <c r="I18" s="479">
        <f>'07'!I43</f>
        <v>19821615</v>
      </c>
      <c r="J18" s="479">
        <f>'07'!J43</f>
        <v>400458</v>
      </c>
      <c r="K18" s="479">
        <f>'07'!K43</f>
        <v>79842</v>
      </c>
      <c r="L18" s="479">
        <f>'07'!L43</f>
        <v>0</v>
      </c>
      <c r="M18" s="479">
        <f>'07'!M43</f>
        <v>19341315</v>
      </c>
      <c r="N18" s="479">
        <f>'07'!N43</f>
        <v>0</v>
      </c>
      <c r="O18" s="479">
        <f>'07'!O43</f>
        <v>0</v>
      </c>
      <c r="P18" s="479">
        <f>'07'!P43</f>
        <v>0</v>
      </c>
      <c r="Q18" s="479">
        <f>'07'!Q43</f>
        <v>0</v>
      </c>
      <c r="R18" s="479">
        <f>'07'!R43</f>
        <v>12590133</v>
      </c>
      <c r="S18" s="479">
        <f>'07'!S43</f>
        <v>31931448</v>
      </c>
      <c r="T18" s="478">
        <f t="shared" si="2"/>
        <v>2.4231123447811895</v>
      </c>
      <c r="U18" s="525">
        <f t="shared" si="3"/>
        <v>116.96792570554094</v>
      </c>
      <c r="V18" s="526">
        <f t="shared" si="4"/>
        <v>480300</v>
      </c>
      <c r="W18" s="526">
        <f t="shared" si="8"/>
        <v>19341315</v>
      </c>
      <c r="X18" s="482">
        <v>8914366</v>
      </c>
      <c r="Y18" s="526">
        <f t="shared" si="5"/>
        <v>10426949</v>
      </c>
      <c r="Z18" s="566">
        <f t="shared" si="6"/>
        <v>0</v>
      </c>
      <c r="AA18" s="567"/>
    </row>
    <row r="19" spans="1:27" ht="15.75">
      <c r="A19" s="483" t="s">
        <v>59</v>
      </c>
      <c r="B19" s="484" t="s">
        <v>437</v>
      </c>
      <c r="C19" s="479">
        <f>'07'!C48</f>
        <v>36358839</v>
      </c>
      <c r="D19" s="479">
        <f>'07'!D48</f>
        <v>31249002</v>
      </c>
      <c r="E19" s="479">
        <f>'07'!E48</f>
        <v>5109837</v>
      </c>
      <c r="F19" s="479">
        <f>'07'!F48</f>
        <v>20200</v>
      </c>
      <c r="G19" s="479">
        <f>'07'!G48</f>
        <v>0</v>
      </c>
      <c r="H19" s="479">
        <f>'07'!H48</f>
        <v>36338639</v>
      </c>
      <c r="I19" s="479">
        <f>'07'!I48</f>
        <v>21207141</v>
      </c>
      <c r="J19" s="479">
        <f>'07'!J48</f>
        <v>820855</v>
      </c>
      <c r="K19" s="479">
        <f>'07'!K48</f>
        <v>577068</v>
      </c>
      <c r="L19" s="479">
        <f>'07'!L48</f>
        <v>0</v>
      </c>
      <c r="M19" s="479">
        <f>'07'!M48</f>
        <v>19408228</v>
      </c>
      <c r="N19" s="479">
        <f>'07'!N48</f>
        <v>400990</v>
      </c>
      <c r="O19" s="479">
        <f>'07'!O48</f>
        <v>0</v>
      </c>
      <c r="P19" s="479">
        <f>'07'!P48</f>
        <v>0</v>
      </c>
      <c r="Q19" s="479">
        <f>'07'!Q48</f>
        <v>0</v>
      </c>
      <c r="R19" s="479">
        <f>'07'!R48</f>
        <v>15131498</v>
      </c>
      <c r="S19" s="479">
        <f>'07'!S48</f>
        <v>34940716</v>
      </c>
      <c r="T19" s="478">
        <f t="shared" si="2"/>
        <v>6.591756050473753</v>
      </c>
      <c r="U19" s="525">
        <f t="shared" si="3"/>
        <v>115.83065395674281</v>
      </c>
      <c r="V19" s="526">
        <f t="shared" si="4"/>
        <v>1397923</v>
      </c>
      <c r="W19" s="526">
        <f t="shared" si="8"/>
        <v>19809218</v>
      </c>
      <c r="X19" s="482">
        <v>9178130</v>
      </c>
      <c r="Y19" s="526">
        <f t="shared" si="5"/>
        <v>10631088</v>
      </c>
      <c r="Z19" s="566">
        <f t="shared" si="6"/>
        <v>0</v>
      </c>
      <c r="AA19" s="567"/>
    </row>
    <row r="20" spans="1:27" ht="15.75">
      <c r="A20" s="483" t="s">
        <v>60</v>
      </c>
      <c r="B20" s="484" t="s">
        <v>436</v>
      </c>
      <c r="C20" s="479">
        <f>'07'!C54</f>
        <v>77689210</v>
      </c>
      <c r="D20" s="479">
        <f>'07'!D54</f>
        <v>68156095</v>
      </c>
      <c r="E20" s="479">
        <f>'07'!E54</f>
        <v>9533115</v>
      </c>
      <c r="F20" s="479">
        <f>'07'!F54</f>
        <v>0</v>
      </c>
      <c r="G20" s="479">
        <f>'07'!G54</f>
        <v>0</v>
      </c>
      <c r="H20" s="479">
        <f>'07'!H54</f>
        <v>77689210</v>
      </c>
      <c r="I20" s="479">
        <f>'07'!I54</f>
        <v>49644212</v>
      </c>
      <c r="J20" s="479">
        <f>'07'!J54</f>
        <v>1021666</v>
      </c>
      <c r="K20" s="479">
        <f>'07'!K54</f>
        <v>825000</v>
      </c>
      <c r="L20" s="479">
        <f>'07'!L54</f>
        <v>0</v>
      </c>
      <c r="M20" s="479">
        <f>'07'!M54</f>
        <v>47797546</v>
      </c>
      <c r="N20" s="479">
        <f>'07'!N54</f>
        <v>0</v>
      </c>
      <c r="O20" s="479">
        <f>'07'!O54</f>
        <v>0</v>
      </c>
      <c r="P20" s="479">
        <f>'07'!P54</f>
        <v>0</v>
      </c>
      <c r="Q20" s="479">
        <f>'07'!Q54</f>
        <v>0</v>
      </c>
      <c r="R20" s="479">
        <f>'07'!R54</f>
        <v>28044998</v>
      </c>
      <c r="S20" s="479">
        <f>'07'!S54</f>
        <v>75842544</v>
      </c>
      <c r="T20" s="478">
        <f t="shared" si="2"/>
        <v>3.7198012126771194</v>
      </c>
      <c r="U20" s="525">
        <f t="shared" si="3"/>
        <v>189.1335492953248</v>
      </c>
      <c r="V20" s="526">
        <f t="shared" si="4"/>
        <v>1846666</v>
      </c>
      <c r="W20" s="526">
        <f t="shared" si="8"/>
        <v>47797546</v>
      </c>
      <c r="X20" s="482">
        <v>16531304</v>
      </c>
      <c r="Y20" s="526">
        <f t="shared" si="5"/>
        <v>31266242</v>
      </c>
      <c r="Z20" s="566">
        <f t="shared" si="6"/>
        <v>0</v>
      </c>
      <c r="AA20" s="567"/>
    </row>
    <row r="21" spans="1:27" ht="15.75">
      <c r="A21" s="483" t="s">
        <v>61</v>
      </c>
      <c r="B21" s="484" t="s">
        <v>435</v>
      </c>
      <c r="C21" s="479">
        <f>'07'!C61</f>
        <v>55404670</v>
      </c>
      <c r="D21" s="479">
        <f>'07'!D61</f>
        <v>46497444</v>
      </c>
      <c r="E21" s="479">
        <f>'07'!E61</f>
        <v>8907226</v>
      </c>
      <c r="F21" s="479">
        <f>'07'!F61</f>
        <v>2652</v>
      </c>
      <c r="G21" s="479">
        <f>'07'!G61</f>
        <v>0</v>
      </c>
      <c r="H21" s="479">
        <f>'07'!H61</f>
        <v>55402018</v>
      </c>
      <c r="I21" s="479">
        <f>'07'!I61</f>
        <v>36079423</v>
      </c>
      <c r="J21" s="479">
        <f>'07'!J61</f>
        <v>1169496</v>
      </c>
      <c r="K21" s="479">
        <f>'07'!K61</f>
        <v>15683</v>
      </c>
      <c r="L21" s="479">
        <f>'07'!L61</f>
        <v>0</v>
      </c>
      <c r="M21" s="479">
        <f>'07'!M61</f>
        <v>34891382</v>
      </c>
      <c r="N21" s="479">
        <f>'07'!N61</f>
        <v>2862</v>
      </c>
      <c r="O21" s="479">
        <f>'07'!O61</f>
        <v>0</v>
      </c>
      <c r="P21" s="479">
        <f>'07'!P61</f>
        <v>0</v>
      </c>
      <c r="Q21" s="479">
        <f>'07'!Q61</f>
        <v>0</v>
      </c>
      <c r="R21" s="479">
        <f>'07'!R61</f>
        <v>19322595</v>
      </c>
      <c r="S21" s="479">
        <f>'07'!S61</f>
        <v>54216839</v>
      </c>
      <c r="T21" s="478">
        <f t="shared" si="2"/>
        <v>3.284916723862241</v>
      </c>
      <c r="U21" s="525">
        <f t="shared" si="3"/>
        <v>214.94023271514234</v>
      </c>
      <c r="V21" s="526">
        <f t="shared" si="4"/>
        <v>1185179</v>
      </c>
      <c r="W21" s="526">
        <f t="shared" si="8"/>
        <v>34894244</v>
      </c>
      <c r="X21" s="482">
        <v>11079640</v>
      </c>
      <c r="Y21" s="526">
        <f t="shared" si="5"/>
        <v>23814604</v>
      </c>
      <c r="Z21" s="566">
        <f t="shared" si="6"/>
        <v>0</v>
      </c>
      <c r="AA21" s="567"/>
    </row>
    <row r="22" spans="1:27" ht="15.75">
      <c r="A22" s="483" t="s">
        <v>62</v>
      </c>
      <c r="B22" s="484" t="s">
        <v>434</v>
      </c>
      <c r="C22" s="479">
        <f>'07'!C67</f>
        <v>157813139</v>
      </c>
      <c r="D22" s="479">
        <f>'07'!D67</f>
        <v>117011258</v>
      </c>
      <c r="E22" s="479">
        <f>'07'!E67</f>
        <v>40801881</v>
      </c>
      <c r="F22" s="479">
        <f>'07'!F67</f>
        <v>0</v>
      </c>
      <c r="G22" s="479">
        <f>'07'!G67</f>
        <v>0</v>
      </c>
      <c r="H22" s="479">
        <f>'07'!H67</f>
        <v>157813139</v>
      </c>
      <c r="I22" s="479">
        <f>'07'!I67</f>
        <v>129584698</v>
      </c>
      <c r="J22" s="479">
        <f>'07'!J67</f>
        <v>5499144</v>
      </c>
      <c r="K22" s="479">
        <f>'07'!K67</f>
        <v>864236</v>
      </c>
      <c r="L22" s="479">
        <f>'07'!L67</f>
        <v>0</v>
      </c>
      <c r="M22" s="479">
        <f>'07'!M67</f>
        <v>123188468</v>
      </c>
      <c r="N22" s="479">
        <f>'07'!N67</f>
        <v>0</v>
      </c>
      <c r="O22" s="479">
        <f>'07'!O67</f>
        <v>32850</v>
      </c>
      <c r="P22" s="479">
        <f>'07'!P67</f>
        <v>0</v>
      </c>
      <c r="Q22" s="479">
        <f>'07'!Q67</f>
        <v>0</v>
      </c>
      <c r="R22" s="479">
        <f>'07'!R67</f>
        <v>28228441</v>
      </c>
      <c r="S22" s="479">
        <f>'07'!S67</f>
        <v>151449759</v>
      </c>
      <c r="T22" s="478">
        <f t="shared" si="2"/>
        <v>4.910595230927652</v>
      </c>
      <c r="U22" s="525">
        <f t="shared" si="3"/>
        <v>199.7870420492933</v>
      </c>
      <c r="V22" s="526">
        <f t="shared" si="4"/>
        <v>6363380</v>
      </c>
      <c r="W22" s="526">
        <f t="shared" si="8"/>
        <v>123221318</v>
      </c>
      <c r="X22" s="482">
        <v>41102950</v>
      </c>
      <c r="Y22" s="526">
        <f t="shared" si="5"/>
        <v>82118368</v>
      </c>
      <c r="Z22" s="566">
        <f t="shared" si="6"/>
        <v>0</v>
      </c>
      <c r="AA22" s="567"/>
    </row>
    <row r="23" spans="1:27" ht="15.75">
      <c r="A23" s="483" t="s">
        <v>63</v>
      </c>
      <c r="B23" s="484" t="s">
        <v>433</v>
      </c>
      <c r="C23" s="479">
        <f>'07'!C73</f>
        <v>109334975</v>
      </c>
      <c r="D23" s="479">
        <f>'07'!D73</f>
        <v>58958406</v>
      </c>
      <c r="E23" s="479">
        <f>'07'!E73</f>
        <v>50376569</v>
      </c>
      <c r="F23" s="479">
        <f>'07'!F73</f>
        <v>0</v>
      </c>
      <c r="G23" s="479">
        <f>'07'!G73</f>
        <v>0</v>
      </c>
      <c r="H23" s="479">
        <f>'07'!H73</f>
        <v>109334975</v>
      </c>
      <c r="I23" s="479">
        <f>'07'!I73</f>
        <v>68419863</v>
      </c>
      <c r="J23" s="479">
        <f>'07'!J73</f>
        <v>1308934</v>
      </c>
      <c r="K23" s="479">
        <f>'07'!K73</f>
        <v>182000</v>
      </c>
      <c r="L23" s="479">
        <f>'07'!L73</f>
        <v>0</v>
      </c>
      <c r="M23" s="479">
        <f>'07'!M73</f>
        <v>34228966</v>
      </c>
      <c r="N23" s="479">
        <f>'07'!N73</f>
        <v>286065</v>
      </c>
      <c r="O23" s="479">
        <f>'07'!O73</f>
        <v>0</v>
      </c>
      <c r="P23" s="479">
        <f>'07'!P73</f>
        <v>0</v>
      </c>
      <c r="Q23" s="479">
        <f>'07'!Q73</f>
        <v>32413898</v>
      </c>
      <c r="R23" s="479">
        <f>'07'!R73</f>
        <v>40915112</v>
      </c>
      <c r="S23" s="479">
        <f>'07'!S73</f>
        <v>107844041</v>
      </c>
      <c r="T23" s="478">
        <f t="shared" si="2"/>
        <v>2.1790952723772627</v>
      </c>
      <c r="U23" s="525">
        <f t="shared" si="3"/>
        <v>551.0827378598559</v>
      </c>
      <c r="V23" s="526">
        <f t="shared" si="4"/>
        <v>1490934</v>
      </c>
      <c r="W23" s="526">
        <f t="shared" si="8"/>
        <v>66928929</v>
      </c>
      <c r="X23" s="482">
        <v>10279635</v>
      </c>
      <c r="Y23" s="526">
        <f t="shared" si="5"/>
        <v>56649294</v>
      </c>
      <c r="Z23" s="566">
        <f t="shared" si="6"/>
        <v>0</v>
      </c>
      <c r="AA23" s="567"/>
    </row>
    <row r="24" spans="1:27" ht="16.5">
      <c r="A24" s="426"/>
      <c r="B24" s="426"/>
      <c r="C24" s="426"/>
      <c r="D24" s="426"/>
      <c r="E24" s="426"/>
      <c r="F24" s="425"/>
      <c r="G24" s="425"/>
      <c r="H24" s="425"/>
      <c r="I24" s="425"/>
      <c r="J24" s="425"/>
      <c r="K24" s="425"/>
      <c r="L24" s="425"/>
      <c r="M24" s="425"/>
      <c r="N24" s="990" t="str">
        <f>'Thong tin'!B8</f>
        <v>Trà Vinh, ngày 03 tháng12 năm 2019</v>
      </c>
      <c r="O24" s="990"/>
      <c r="P24" s="990"/>
      <c r="Q24" s="990"/>
      <c r="R24" s="990"/>
      <c r="S24" s="990"/>
      <c r="T24" s="990"/>
      <c r="U24" s="460"/>
      <c r="V24" s="460"/>
      <c r="W24" s="460"/>
      <c r="X24" s="460"/>
      <c r="Y24" s="460"/>
      <c r="Z24" s="395"/>
      <c r="AA24" s="567"/>
    </row>
    <row r="25" spans="1:27" ht="16.5">
      <c r="A25" s="424"/>
      <c r="B25" s="997"/>
      <c r="C25" s="997"/>
      <c r="D25" s="997"/>
      <c r="E25" s="997"/>
      <c r="F25" s="434"/>
      <c r="G25" s="434"/>
      <c r="H25" s="434"/>
      <c r="I25" s="434"/>
      <c r="J25" s="434"/>
      <c r="K25" s="434"/>
      <c r="L25" s="434"/>
      <c r="M25" s="434"/>
      <c r="N25" s="434"/>
      <c r="O25" s="948" t="str">
        <f>'Thong tin'!B7</f>
        <v>PHÓ CỤC TRƯỞNG</v>
      </c>
      <c r="P25" s="948"/>
      <c r="Q25" s="948"/>
      <c r="R25" s="948"/>
      <c r="S25" s="948"/>
      <c r="T25" s="948"/>
      <c r="U25" s="456"/>
      <c r="V25" s="456"/>
      <c r="W25" s="456"/>
      <c r="X25" s="456"/>
      <c r="Y25" s="456"/>
      <c r="Z25" s="395"/>
      <c r="AA25" s="567"/>
    </row>
    <row r="26" spans="1:26" ht="16.5">
      <c r="A26" s="393"/>
      <c r="B26" s="997" t="s">
        <v>4</v>
      </c>
      <c r="C26" s="997"/>
      <c r="D26" s="997"/>
      <c r="E26" s="997"/>
      <c r="F26" s="396"/>
      <c r="G26" s="396"/>
      <c r="H26" s="396"/>
      <c r="I26" s="396"/>
      <c r="J26" s="396"/>
      <c r="K26" s="396"/>
      <c r="L26" s="396"/>
      <c r="M26" s="396"/>
      <c r="N26" s="396"/>
      <c r="O26" s="948"/>
      <c r="P26" s="948"/>
      <c r="Q26" s="948"/>
      <c r="R26" s="948"/>
      <c r="S26" s="948"/>
      <c r="T26" s="948"/>
      <c r="U26" s="456"/>
      <c r="V26" s="456"/>
      <c r="W26" s="456"/>
      <c r="X26" s="456"/>
      <c r="Y26" s="456"/>
      <c r="Z26" s="393"/>
    </row>
    <row r="27" spans="1:26" ht="15.75">
      <c r="A27" s="393"/>
      <c r="B27" s="435"/>
      <c r="C27" s="435"/>
      <c r="D27" s="396"/>
      <c r="E27" s="396"/>
      <c r="F27" s="396"/>
      <c r="G27" s="396"/>
      <c r="H27" s="396"/>
      <c r="I27" s="396"/>
      <c r="J27" s="396"/>
      <c r="K27" s="396"/>
      <c r="L27" s="396"/>
      <c r="M27" s="396"/>
      <c r="N27" s="396"/>
      <c r="O27" s="396"/>
      <c r="P27" s="396"/>
      <c r="Q27" s="396"/>
      <c r="R27" s="396"/>
      <c r="S27" s="435"/>
      <c r="T27" s="435"/>
      <c r="U27" s="435"/>
      <c r="V27" s="435"/>
      <c r="W27" s="435"/>
      <c r="X27" s="435"/>
      <c r="Y27" s="435"/>
      <c r="Z27" s="393"/>
    </row>
    <row r="28" spans="1:26" ht="15.75">
      <c r="A28" s="393"/>
      <c r="B28" s="435"/>
      <c r="C28" s="435"/>
      <c r="D28" s="396"/>
      <c r="E28" s="396"/>
      <c r="F28" s="396"/>
      <c r="G28" s="396"/>
      <c r="H28" s="396"/>
      <c r="I28" s="396"/>
      <c r="J28" s="396"/>
      <c r="K28" s="396"/>
      <c r="L28" s="396"/>
      <c r="M28" s="396"/>
      <c r="N28" s="396"/>
      <c r="O28" s="396"/>
      <c r="P28" s="396"/>
      <c r="Q28" s="396"/>
      <c r="R28" s="396"/>
      <c r="S28" s="435"/>
      <c r="T28" s="435"/>
      <c r="U28" s="435"/>
      <c r="V28" s="435"/>
      <c r="W28" s="435"/>
      <c r="X28" s="435"/>
      <c r="Y28" s="435"/>
      <c r="Z28" s="393"/>
    </row>
    <row r="29" spans="1:26" ht="15.75">
      <c r="A29" s="422"/>
      <c r="B29" s="435"/>
      <c r="C29" s="435"/>
      <c r="D29" s="396"/>
      <c r="E29" s="396"/>
      <c r="F29" s="396"/>
      <c r="G29" s="396"/>
      <c r="H29" s="396"/>
      <c r="I29" s="396"/>
      <c r="J29" s="396"/>
      <c r="K29" s="396"/>
      <c r="L29" s="396"/>
      <c r="M29" s="396"/>
      <c r="N29" s="396"/>
      <c r="O29" s="396"/>
      <c r="P29" s="396"/>
      <c r="Q29" s="396"/>
      <c r="R29" s="396"/>
      <c r="S29" s="435"/>
      <c r="T29" s="435"/>
      <c r="U29" s="435"/>
      <c r="V29" s="435"/>
      <c r="W29" s="435"/>
      <c r="X29" s="435"/>
      <c r="Y29" s="435"/>
      <c r="Z29" s="393"/>
    </row>
    <row r="30" spans="1:26" ht="15.75">
      <c r="A30" s="393"/>
      <c r="B30" s="991"/>
      <c r="C30" s="991"/>
      <c r="D30" s="991"/>
      <c r="E30" s="991"/>
      <c r="F30" s="991"/>
      <c r="G30" s="991"/>
      <c r="H30" s="991"/>
      <c r="I30" s="991"/>
      <c r="J30" s="991"/>
      <c r="K30" s="991"/>
      <c r="L30" s="991"/>
      <c r="M30" s="991"/>
      <c r="N30" s="991"/>
      <c r="O30" s="991"/>
      <c r="P30" s="991"/>
      <c r="Q30" s="396"/>
      <c r="R30" s="396"/>
      <c r="S30" s="435"/>
      <c r="T30" s="435"/>
      <c r="U30" s="435"/>
      <c r="V30" s="435"/>
      <c r="W30" s="435"/>
      <c r="X30" s="435"/>
      <c r="Y30" s="435"/>
      <c r="Z30" s="433">
        <f>C12-(F12+G12+H12)</f>
        <v>-56528</v>
      </c>
    </row>
    <row r="31" spans="1:26" ht="15.75">
      <c r="A31" s="393"/>
      <c r="B31" s="991"/>
      <c r="C31" s="991"/>
      <c r="D31" s="991"/>
      <c r="E31" s="991"/>
      <c r="F31" s="991"/>
      <c r="G31" s="991"/>
      <c r="H31" s="991"/>
      <c r="I31" s="991"/>
      <c r="J31" s="991"/>
      <c r="K31" s="991"/>
      <c r="L31" s="991"/>
      <c r="M31" s="991"/>
      <c r="N31" s="991"/>
      <c r="O31" s="991"/>
      <c r="P31" s="991"/>
      <c r="Q31" s="396"/>
      <c r="R31" s="396"/>
      <c r="S31" s="435"/>
      <c r="T31" s="435"/>
      <c r="U31" s="435"/>
      <c r="V31" s="435"/>
      <c r="W31" s="435"/>
      <c r="X31" s="435"/>
      <c r="Y31" s="435"/>
      <c r="Z31" s="393"/>
    </row>
    <row r="32" spans="1:26" ht="15.75">
      <c r="A32" s="393"/>
      <c r="B32" s="991"/>
      <c r="C32" s="991"/>
      <c r="D32" s="991"/>
      <c r="E32" s="991"/>
      <c r="F32" s="991"/>
      <c r="G32" s="991"/>
      <c r="H32" s="991"/>
      <c r="I32" s="991"/>
      <c r="J32" s="991"/>
      <c r="K32" s="991"/>
      <c r="L32" s="991"/>
      <c r="M32" s="991"/>
      <c r="N32" s="991"/>
      <c r="O32" s="991"/>
      <c r="P32" s="991"/>
      <c r="Q32" s="396"/>
      <c r="R32" s="396"/>
      <c r="S32" s="435"/>
      <c r="T32" s="435"/>
      <c r="U32" s="435"/>
      <c r="V32" s="435"/>
      <c r="W32" s="435"/>
      <c r="X32" s="435"/>
      <c r="Y32" s="435"/>
      <c r="Z32" s="393"/>
    </row>
    <row r="33" spans="1:26" ht="15.75">
      <c r="A33" s="420"/>
      <c r="B33" s="941" t="s">
        <v>430</v>
      </c>
      <c r="C33" s="941"/>
      <c r="D33" s="941"/>
      <c r="E33" s="941"/>
      <c r="F33" s="436"/>
      <c r="G33" s="436"/>
      <c r="H33" s="436"/>
      <c r="I33" s="436"/>
      <c r="J33" s="436"/>
      <c r="K33" s="436"/>
      <c r="L33" s="436"/>
      <c r="M33" s="436"/>
      <c r="N33" s="436"/>
      <c r="O33" s="941" t="str">
        <f>'Thong tin'!B6</f>
        <v>Nguyễn Minh Khiêm</v>
      </c>
      <c r="P33" s="941"/>
      <c r="Q33" s="941"/>
      <c r="R33" s="941"/>
      <c r="S33" s="941"/>
      <c r="T33" s="941"/>
      <c r="U33" s="454"/>
      <c r="V33" s="454"/>
      <c r="W33" s="454"/>
      <c r="X33" s="454"/>
      <c r="Y33" s="454"/>
      <c r="Z33" s="393"/>
    </row>
  </sheetData>
  <sheetProtection/>
  <mergeCells count="51">
    <mergeCell ref="Q5:T5"/>
    <mergeCell ref="Q9:Q10"/>
    <mergeCell ref="E3:P3"/>
    <mergeCell ref="A3:D3"/>
    <mergeCell ref="G6:G10"/>
    <mergeCell ref="Q3:T3"/>
    <mergeCell ref="M9:M10"/>
    <mergeCell ref="A2:D2"/>
    <mergeCell ref="D9:D10"/>
    <mergeCell ref="E1:P1"/>
    <mergeCell ref="Q1:T1"/>
    <mergeCell ref="I8:I10"/>
    <mergeCell ref="J8:Q8"/>
    <mergeCell ref="Q4:T4"/>
    <mergeCell ref="E2:P2"/>
    <mergeCell ref="C7:C10"/>
    <mergeCell ref="Q2:T2"/>
    <mergeCell ref="Y6:Y10"/>
    <mergeCell ref="I7:Q7"/>
    <mergeCell ref="K9:K10"/>
    <mergeCell ref="L9:L10"/>
    <mergeCell ref="H6:R6"/>
    <mergeCell ref="W6:W10"/>
    <mergeCell ref="O9:O10"/>
    <mergeCell ref="N9:N10"/>
    <mergeCell ref="A11:B11"/>
    <mergeCell ref="C6:E6"/>
    <mergeCell ref="R7:R10"/>
    <mergeCell ref="E9:E10"/>
    <mergeCell ref="D7:E8"/>
    <mergeCell ref="S6:S10"/>
    <mergeCell ref="B31:P31"/>
    <mergeCell ref="V6:V10"/>
    <mergeCell ref="U6:U10"/>
    <mergeCell ref="X6:X10"/>
    <mergeCell ref="B25:E25"/>
    <mergeCell ref="O25:T25"/>
    <mergeCell ref="A6:B10"/>
    <mergeCell ref="T6:T10"/>
    <mergeCell ref="P9:P10"/>
    <mergeCell ref="H7:H10"/>
    <mergeCell ref="N24:T24"/>
    <mergeCell ref="B32:P32"/>
    <mergeCell ref="A12:B12"/>
    <mergeCell ref="B30:P30"/>
    <mergeCell ref="J9:J10"/>
    <mergeCell ref="B33:E33"/>
    <mergeCell ref="O33:T33"/>
    <mergeCell ref="F6:F10"/>
    <mergeCell ref="B26:E26"/>
    <mergeCell ref="O26:T26"/>
  </mergeCells>
  <printOptions/>
  <pageMargins left="0" right="0" top="0.75" bottom="0" header="0.3" footer="0"/>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tabColor indexed="19"/>
  </sheetPr>
  <dimension ref="A1:AD89"/>
  <sheetViews>
    <sheetView showZeros="0" view="pageBreakPreview" zoomScale="80" zoomScaleSheetLayoutView="80" zoomScalePageLayoutView="0" workbookViewId="0" topLeftCell="A9">
      <pane xSplit="3" ySplit="3" topLeftCell="D18" activePane="bottomRight" state="frozen"/>
      <selection pane="topLeft" activeCell="A9" sqref="A9"/>
      <selection pane="topRight" activeCell="D9" sqref="D9"/>
      <selection pane="bottomLeft" activeCell="A12" sqref="A12"/>
      <selection pane="bottomRight" activeCell="G25" sqref="G25"/>
    </sheetView>
  </sheetViews>
  <sheetFormatPr defaultColWidth="9.00390625" defaultRowHeight="15.75"/>
  <cols>
    <col min="1" max="1" width="4.75390625" style="23" customWidth="1"/>
    <col min="2" max="2" width="17.625" style="23" customWidth="1"/>
    <col min="3" max="3" width="8.125" style="23" customWidth="1"/>
    <col min="4" max="4" width="7.125" style="23" customWidth="1"/>
    <col min="5" max="5" width="8.25390625" style="23" customWidth="1"/>
    <col min="6" max="6" width="6.875" style="23" customWidth="1"/>
    <col min="7" max="7" width="6.25390625" style="23" customWidth="1"/>
    <col min="8" max="8" width="7.00390625" style="23" customWidth="1"/>
    <col min="9" max="9" width="7.25390625" style="23" customWidth="1"/>
    <col min="10" max="10" width="5.875" style="23" customWidth="1"/>
    <col min="11" max="11" width="5.25390625" style="23" customWidth="1"/>
    <col min="12" max="12" width="6.375" style="23" customWidth="1"/>
    <col min="13" max="13" width="6.625" style="23" customWidth="1"/>
    <col min="14" max="14" width="6.00390625" style="23" customWidth="1"/>
    <col min="15" max="15" width="5.375" style="23" customWidth="1"/>
    <col min="16" max="16" width="5.25390625" style="23" customWidth="1"/>
    <col min="17" max="17" width="6.375" style="23" customWidth="1"/>
    <col min="18" max="18" width="7.125" style="23" customWidth="1"/>
    <col min="19" max="19" width="6.625" style="23" customWidth="1"/>
    <col min="20" max="20" width="7.875" style="23" customWidth="1"/>
    <col min="21" max="22" width="5.75390625" style="23" customWidth="1"/>
    <col min="23" max="23" width="5.25390625" style="23" customWidth="1"/>
    <col min="24" max="24" width="6.375" style="23" customWidth="1"/>
    <col min="25" max="25" width="4.875" style="23" customWidth="1"/>
    <col min="26" max="28" width="9.00390625" style="23" customWidth="1"/>
    <col min="29" max="29" width="6.25390625" style="23" customWidth="1"/>
    <col min="30" max="16384" width="9.00390625" style="23" customWidth="1"/>
  </cols>
  <sheetData>
    <row r="1" spans="1:22" ht="20.25" customHeight="1">
      <c r="A1" s="408" t="s">
        <v>27</v>
      </c>
      <c r="B1" s="408"/>
      <c r="C1" s="408"/>
      <c r="E1" s="1028" t="s">
        <v>66</v>
      </c>
      <c r="F1" s="1028"/>
      <c r="G1" s="1028"/>
      <c r="H1" s="1028"/>
      <c r="I1" s="1028"/>
      <c r="J1" s="1028"/>
      <c r="K1" s="1028"/>
      <c r="L1" s="1028"/>
      <c r="M1" s="1028"/>
      <c r="N1" s="1028"/>
      <c r="O1" s="1028"/>
      <c r="P1" s="404" t="s">
        <v>510</v>
      </c>
      <c r="Q1" s="404"/>
      <c r="R1" s="404"/>
      <c r="S1" s="404"/>
      <c r="T1" s="404"/>
      <c r="U1" s="404"/>
      <c r="V1" s="404"/>
    </row>
    <row r="2" spans="1:22" ht="17.25" customHeight="1">
      <c r="A2" s="1025" t="s">
        <v>240</v>
      </c>
      <c r="B2" s="1025"/>
      <c r="C2" s="1025"/>
      <c r="D2" s="1025"/>
      <c r="E2" s="1029" t="s">
        <v>34</v>
      </c>
      <c r="F2" s="1029"/>
      <c r="G2" s="1029"/>
      <c r="H2" s="1029"/>
      <c r="I2" s="1029"/>
      <c r="J2" s="1029"/>
      <c r="K2" s="1029"/>
      <c r="L2" s="1029"/>
      <c r="M2" s="1029"/>
      <c r="N2" s="1029"/>
      <c r="O2" s="1029"/>
      <c r="P2" s="1032" t="str">
        <f>'Thong tin'!B4</f>
        <v>CTHADS TRÀ VINH</v>
      </c>
      <c r="Q2" s="1032"/>
      <c r="R2" s="1032"/>
      <c r="S2" s="1032"/>
      <c r="T2" s="449"/>
      <c r="U2" s="449"/>
      <c r="V2" s="449"/>
    </row>
    <row r="3" spans="1:22" ht="19.5" customHeight="1">
      <c r="A3" s="1025" t="s">
        <v>241</v>
      </c>
      <c r="B3" s="1025"/>
      <c r="C3" s="1025"/>
      <c r="D3" s="1025"/>
      <c r="E3" s="1030" t="str">
        <f>'Thong tin'!B3</f>
        <v>02 tháng / năm 2020</v>
      </c>
      <c r="F3" s="1030"/>
      <c r="G3" s="1030"/>
      <c r="H3" s="1030"/>
      <c r="I3" s="1030"/>
      <c r="J3" s="1030"/>
      <c r="K3" s="1030"/>
      <c r="L3" s="1030"/>
      <c r="M3" s="1030"/>
      <c r="N3" s="1030"/>
      <c r="O3" s="1030"/>
      <c r="P3" s="404" t="s">
        <v>509</v>
      </c>
      <c r="Q3" s="408"/>
      <c r="R3" s="404"/>
      <c r="S3" s="404"/>
      <c r="T3" s="404"/>
      <c r="U3" s="404"/>
      <c r="V3" s="404"/>
    </row>
    <row r="4" spans="1:22" ht="14.25" customHeight="1">
      <c r="A4" s="397" t="s">
        <v>120</v>
      </c>
      <c r="B4" s="408"/>
      <c r="C4" s="408"/>
      <c r="D4" s="408"/>
      <c r="E4" s="408"/>
      <c r="F4" s="408"/>
      <c r="G4" s="408"/>
      <c r="H4" s="408"/>
      <c r="I4" s="408"/>
      <c r="J4" s="408"/>
      <c r="K4" s="408"/>
      <c r="L4" s="408"/>
      <c r="M4" s="408"/>
      <c r="N4" s="407"/>
      <c r="O4" s="407"/>
      <c r="P4" s="1033" t="s">
        <v>300</v>
      </c>
      <c r="Q4" s="1033"/>
      <c r="R4" s="1033"/>
      <c r="S4" s="1033"/>
      <c r="T4" s="453"/>
      <c r="U4" s="453"/>
      <c r="V4" s="453"/>
    </row>
    <row r="5" spans="2:22" ht="21.75" customHeight="1">
      <c r="B5" s="380"/>
      <c r="C5" s="380"/>
      <c r="Q5" s="406" t="s">
        <v>508</v>
      </c>
      <c r="R5" s="405"/>
      <c r="S5" s="405"/>
      <c r="T5" s="405"/>
      <c r="U5" s="405"/>
      <c r="V5" s="405"/>
    </row>
    <row r="6" spans="1:22" ht="19.5" customHeight="1">
      <c r="A6" s="1042" t="s">
        <v>57</v>
      </c>
      <c r="B6" s="1042"/>
      <c r="C6" s="1026" t="s">
        <v>121</v>
      </c>
      <c r="D6" s="1026"/>
      <c r="E6" s="1026"/>
      <c r="F6" s="1027" t="s">
        <v>101</v>
      </c>
      <c r="G6" s="1027" t="s">
        <v>122</v>
      </c>
      <c r="H6" s="1037" t="s">
        <v>102</v>
      </c>
      <c r="I6" s="1037"/>
      <c r="J6" s="1037"/>
      <c r="K6" s="1037"/>
      <c r="L6" s="1037"/>
      <c r="M6" s="1037"/>
      <c r="N6" s="1037"/>
      <c r="O6" s="1037"/>
      <c r="P6" s="1037"/>
      <c r="Q6" s="1037"/>
      <c r="R6" s="1026" t="s">
        <v>245</v>
      </c>
      <c r="S6" s="1026" t="s">
        <v>507</v>
      </c>
      <c r="T6" s="1031" t="s">
        <v>524</v>
      </c>
      <c r="U6" s="1031" t="s">
        <v>525</v>
      </c>
      <c r="V6" s="471"/>
    </row>
    <row r="7" spans="1:22" s="404" customFormat="1" ht="27" customHeight="1">
      <c r="A7" s="1042"/>
      <c r="B7" s="1042"/>
      <c r="C7" s="1026" t="s">
        <v>42</v>
      </c>
      <c r="D7" s="1026" t="s">
        <v>7</v>
      </c>
      <c r="E7" s="1026"/>
      <c r="F7" s="1027"/>
      <c r="G7" s="1027"/>
      <c r="H7" s="1027" t="s">
        <v>102</v>
      </c>
      <c r="I7" s="1026" t="s">
        <v>103</v>
      </c>
      <c r="J7" s="1026"/>
      <c r="K7" s="1026"/>
      <c r="L7" s="1026"/>
      <c r="M7" s="1026"/>
      <c r="N7" s="1026"/>
      <c r="O7" s="1026"/>
      <c r="P7" s="1026"/>
      <c r="Q7" s="1027" t="s">
        <v>112</v>
      </c>
      <c r="R7" s="1026"/>
      <c r="S7" s="1026"/>
      <c r="T7" s="1031"/>
      <c r="U7" s="1031"/>
      <c r="V7" s="545"/>
    </row>
    <row r="8" spans="1:22" ht="21.75" customHeight="1">
      <c r="A8" s="1042"/>
      <c r="B8" s="1042"/>
      <c r="C8" s="1026"/>
      <c r="D8" s="1026" t="s">
        <v>124</v>
      </c>
      <c r="E8" s="1026" t="s">
        <v>125</v>
      </c>
      <c r="F8" s="1027"/>
      <c r="G8" s="1027"/>
      <c r="H8" s="1027"/>
      <c r="I8" s="1027" t="s">
        <v>506</v>
      </c>
      <c r="J8" s="1026" t="s">
        <v>7</v>
      </c>
      <c r="K8" s="1026"/>
      <c r="L8" s="1026"/>
      <c r="M8" s="1026"/>
      <c r="N8" s="1026"/>
      <c r="O8" s="1026"/>
      <c r="P8" s="1026"/>
      <c r="Q8" s="1027"/>
      <c r="R8" s="1026"/>
      <c r="S8" s="1026"/>
      <c r="T8" s="1031"/>
      <c r="U8" s="1031"/>
      <c r="V8" s="545"/>
    </row>
    <row r="9" spans="1:29" ht="84" customHeight="1">
      <c r="A9" s="1042"/>
      <c r="B9" s="1042"/>
      <c r="C9" s="1026"/>
      <c r="D9" s="1026"/>
      <c r="E9" s="1026"/>
      <c r="F9" s="1027"/>
      <c r="G9" s="1027"/>
      <c r="H9" s="1027"/>
      <c r="I9" s="1027"/>
      <c r="J9" s="469" t="s">
        <v>126</v>
      </c>
      <c r="K9" s="469" t="s">
        <v>127</v>
      </c>
      <c r="L9" s="470" t="s">
        <v>105</v>
      </c>
      <c r="M9" s="470" t="s">
        <v>128</v>
      </c>
      <c r="N9" s="470" t="s">
        <v>108</v>
      </c>
      <c r="O9" s="470" t="s">
        <v>246</v>
      </c>
      <c r="P9" s="470" t="s">
        <v>111</v>
      </c>
      <c r="Q9" s="1027"/>
      <c r="R9" s="1026"/>
      <c r="S9" s="1026"/>
      <c r="T9" s="1031"/>
      <c r="U9" s="1031"/>
      <c r="V9" s="583" t="s">
        <v>568</v>
      </c>
      <c r="Z9" s="506" t="s">
        <v>570</v>
      </c>
      <c r="AA9" s="506" t="s">
        <v>540</v>
      </c>
      <c r="AB9" s="507" t="s">
        <v>541</v>
      </c>
      <c r="AC9" s="23" t="s">
        <v>545</v>
      </c>
    </row>
    <row r="10" spans="1:29" ht="15" customHeight="1">
      <c r="A10" s="1043" t="s">
        <v>6</v>
      </c>
      <c r="B10" s="1043"/>
      <c r="C10" s="472">
        <v>1</v>
      </c>
      <c r="D10" s="472">
        <v>2</v>
      </c>
      <c r="E10" s="472">
        <v>3</v>
      </c>
      <c r="F10" s="472">
        <v>4</v>
      </c>
      <c r="G10" s="472">
        <v>5</v>
      </c>
      <c r="H10" s="472">
        <v>6</v>
      </c>
      <c r="I10" s="472">
        <v>7</v>
      </c>
      <c r="J10" s="472">
        <v>8</v>
      </c>
      <c r="K10" s="472">
        <v>9</v>
      </c>
      <c r="L10" s="472">
        <v>10</v>
      </c>
      <c r="M10" s="472">
        <v>11</v>
      </c>
      <c r="N10" s="472">
        <v>12</v>
      </c>
      <c r="O10" s="472">
        <v>13</v>
      </c>
      <c r="P10" s="472">
        <v>14</v>
      </c>
      <c r="Q10" s="472">
        <v>15</v>
      </c>
      <c r="R10" s="472">
        <v>16</v>
      </c>
      <c r="S10" s="472">
        <v>17</v>
      </c>
      <c r="T10" s="472">
        <v>18</v>
      </c>
      <c r="U10" s="472">
        <v>19</v>
      </c>
      <c r="V10" s="472">
        <v>20</v>
      </c>
      <c r="W10" s="472">
        <v>21</v>
      </c>
      <c r="X10" s="472">
        <v>22</v>
      </c>
      <c r="Y10" s="472">
        <v>23</v>
      </c>
      <c r="Z10" s="472">
        <v>24</v>
      </c>
      <c r="AA10" s="472">
        <v>25</v>
      </c>
      <c r="AB10" s="472">
        <v>26</v>
      </c>
      <c r="AC10" s="472">
        <v>27</v>
      </c>
    </row>
    <row r="11" spans="1:29" ht="21.75" customHeight="1">
      <c r="A11" s="1040" t="s">
        <v>30</v>
      </c>
      <c r="B11" s="1041"/>
      <c r="C11" s="602">
        <f aca="true" t="shared" si="0" ref="C11:R11">+C12+C22</f>
        <v>11029</v>
      </c>
      <c r="D11" s="602">
        <f t="shared" si="0"/>
        <v>8708</v>
      </c>
      <c r="E11" s="602">
        <f t="shared" si="0"/>
        <v>2321</v>
      </c>
      <c r="F11" s="602">
        <f t="shared" si="0"/>
        <v>10</v>
      </c>
      <c r="G11" s="602">
        <f t="shared" si="0"/>
        <v>2</v>
      </c>
      <c r="H11" s="602">
        <f t="shared" si="0"/>
        <v>11019</v>
      </c>
      <c r="I11" s="602">
        <f t="shared" si="0"/>
        <v>6994</v>
      </c>
      <c r="J11" s="602">
        <f t="shared" si="0"/>
        <v>1354</v>
      </c>
      <c r="K11" s="602">
        <f t="shared" si="0"/>
        <v>31</v>
      </c>
      <c r="L11" s="602">
        <f t="shared" si="0"/>
        <v>5560</v>
      </c>
      <c r="M11" s="602">
        <f t="shared" si="0"/>
        <v>30</v>
      </c>
      <c r="N11" s="602">
        <f t="shared" si="0"/>
        <v>2</v>
      </c>
      <c r="O11" s="602">
        <f t="shared" si="0"/>
        <v>0</v>
      </c>
      <c r="P11" s="602">
        <f t="shared" si="0"/>
        <v>17</v>
      </c>
      <c r="Q11" s="602">
        <f t="shared" si="0"/>
        <v>4025</v>
      </c>
      <c r="R11" s="602">
        <f t="shared" si="0"/>
        <v>9634</v>
      </c>
      <c r="S11" s="603">
        <f aca="true" t="shared" si="1" ref="S11:S43">(((J11+K11))/I11)*100</f>
        <v>19.8026880183014</v>
      </c>
      <c r="T11" s="604">
        <f>+I11/H11</f>
        <v>0.6347218440874852</v>
      </c>
      <c r="U11" s="605">
        <f>+R11-Q11</f>
        <v>5609</v>
      </c>
      <c r="V11" s="473" t="e">
        <f>+V12+V22</f>
        <v>#REF!</v>
      </c>
      <c r="W11" s="504">
        <f aca="true" t="shared" si="2" ref="W11:W47">+C11-(F11+G11+H11)</f>
        <v>-2</v>
      </c>
      <c r="X11" s="505">
        <f>+L11+M11+N11+O11+P11+Q11</f>
        <v>9634</v>
      </c>
      <c r="Y11" s="505" t="str">
        <f>+IF(X11=R11,"Đ","S")</f>
        <v>Đ</v>
      </c>
      <c r="Z11" s="508">
        <f>+L11+M11+N11+O11+P11</f>
        <v>5609</v>
      </c>
      <c r="AA11" s="508" t="e">
        <f>+AA12+AA22</f>
        <v>#REF!</v>
      </c>
      <c r="AB11" s="559" t="e">
        <f>(((Z11)-AA11)/AA11)*100</f>
        <v>#REF!</v>
      </c>
      <c r="AC11" s="513" t="e">
        <f>+Z11-AA11</f>
        <v>#REF!</v>
      </c>
    </row>
    <row r="12" spans="1:29" ht="21.75" customHeight="1">
      <c r="A12" s="606" t="s">
        <v>0</v>
      </c>
      <c r="B12" s="532" t="s">
        <v>131</v>
      </c>
      <c r="C12" s="533">
        <f>+C13+C14+C15+C16+C17+C18+C19+C21+C20</f>
        <v>347</v>
      </c>
      <c r="D12" s="533">
        <f>+D13+D14+D15+D16+D17+D18+D19+D21+D20</f>
        <v>313</v>
      </c>
      <c r="E12" s="533">
        <f aca="true" t="shared" si="3" ref="E12:R12">+E13+E14+E15+E16+E17+E18+E19+E21+E20</f>
        <v>34</v>
      </c>
      <c r="F12" s="533">
        <f t="shared" si="3"/>
        <v>1</v>
      </c>
      <c r="G12" s="533">
        <f t="shared" si="3"/>
        <v>1</v>
      </c>
      <c r="H12" s="533">
        <f t="shared" si="3"/>
        <v>346</v>
      </c>
      <c r="I12" s="533">
        <f t="shared" si="3"/>
        <v>171</v>
      </c>
      <c r="J12" s="533">
        <f t="shared" si="3"/>
        <v>26</v>
      </c>
      <c r="K12" s="533">
        <f t="shared" si="3"/>
        <v>0</v>
      </c>
      <c r="L12" s="533">
        <f t="shared" si="3"/>
        <v>135</v>
      </c>
      <c r="M12" s="533">
        <f t="shared" si="3"/>
        <v>3</v>
      </c>
      <c r="N12" s="533">
        <f t="shared" si="3"/>
        <v>1</v>
      </c>
      <c r="O12" s="533">
        <f t="shared" si="3"/>
        <v>0</v>
      </c>
      <c r="P12" s="533">
        <f t="shared" si="3"/>
        <v>6</v>
      </c>
      <c r="Q12" s="533">
        <f t="shared" si="3"/>
        <v>175</v>
      </c>
      <c r="R12" s="533">
        <f t="shared" si="3"/>
        <v>320</v>
      </c>
      <c r="S12" s="603">
        <f t="shared" si="1"/>
        <v>15.204678362573098</v>
      </c>
      <c r="T12" s="536">
        <f aca="true" t="shared" si="4" ref="T12:T78">+I12/H12</f>
        <v>0.49421965317919075</v>
      </c>
      <c r="U12" s="537">
        <f aca="true" t="shared" si="5" ref="U12:U78">+R12-Q12</f>
        <v>145</v>
      </c>
      <c r="V12" s="495">
        <f>+V13+V14+V15+V16+V17+V18+V19+V21</f>
        <v>29</v>
      </c>
      <c r="W12" s="504">
        <f t="shared" si="2"/>
        <v>-1</v>
      </c>
      <c r="X12" s="505">
        <f aca="true" t="shared" si="6" ref="X12:X78">+L12+M12+N12+O12+P12+Q12</f>
        <v>320</v>
      </c>
      <c r="Y12" s="505" t="str">
        <f aca="true" t="shared" si="7" ref="Y12:Y78">+IF(X12=R12,"Đ","S")</f>
        <v>Đ</v>
      </c>
      <c r="Z12" s="509">
        <f aca="true" t="shared" si="8" ref="Z12:Z78">+L12+M12+N12+O12+P12</f>
        <v>145</v>
      </c>
      <c r="AA12" s="509">
        <f>+AA13+AA14+AA15+AA16+AA17+AA18+AA19+AA21</f>
        <v>98</v>
      </c>
      <c r="AB12" s="560">
        <f aca="true" t="shared" si="9" ref="AB12:AB78">(((Z12)-AA12)/AA12)*100</f>
        <v>47.95918367346938</v>
      </c>
      <c r="AC12" s="513">
        <f aca="true" t="shared" si="10" ref="AC12:AC78">+Z12-AA12</f>
        <v>47</v>
      </c>
    </row>
    <row r="13" spans="1:29" ht="21.75" customHeight="1">
      <c r="A13" s="607" t="s">
        <v>43</v>
      </c>
      <c r="B13" s="608" t="s">
        <v>431</v>
      </c>
      <c r="C13" s="533">
        <f aca="true" t="shared" si="11" ref="C13:C21">+D13+E13</f>
        <v>0</v>
      </c>
      <c r="D13" s="538"/>
      <c r="E13" s="538"/>
      <c r="F13" s="538"/>
      <c r="G13" s="538"/>
      <c r="H13" s="533">
        <f aca="true" t="shared" si="12" ref="H13:H21">SUM(I13,Q13)</f>
        <v>0</v>
      </c>
      <c r="I13" s="533">
        <f aca="true" t="shared" si="13" ref="I13:I21">SUM(J13:P13)</f>
        <v>0</v>
      </c>
      <c r="J13" s="538"/>
      <c r="K13" s="538"/>
      <c r="L13" s="538"/>
      <c r="M13" s="538"/>
      <c r="N13" s="538"/>
      <c r="O13" s="538"/>
      <c r="P13" s="538"/>
      <c r="Q13" s="538"/>
      <c r="R13" s="534">
        <f>+Q13+P13+O13+N13+M13+L13</f>
        <v>0</v>
      </c>
      <c r="S13" s="609" t="e">
        <f t="shared" si="1"/>
        <v>#DIV/0!</v>
      </c>
      <c r="T13" s="536" t="e">
        <f t="shared" si="4"/>
        <v>#DIV/0!</v>
      </c>
      <c r="U13" s="537">
        <f t="shared" si="5"/>
        <v>0</v>
      </c>
      <c r="V13" s="495"/>
      <c r="W13" s="504">
        <f t="shared" si="2"/>
        <v>0</v>
      </c>
      <c r="X13" s="505">
        <f t="shared" si="6"/>
        <v>0</v>
      </c>
      <c r="Y13" s="505" t="str">
        <f t="shared" si="7"/>
        <v>Đ</v>
      </c>
      <c r="Z13" s="508">
        <f t="shared" si="8"/>
        <v>0</v>
      </c>
      <c r="AA13" s="508"/>
      <c r="AB13" s="560" t="e">
        <f t="shared" si="9"/>
        <v>#DIV/0!</v>
      </c>
      <c r="AC13" s="513">
        <f t="shared" si="10"/>
        <v>0</v>
      </c>
    </row>
    <row r="14" spans="1:29" ht="21.75" customHeight="1">
      <c r="A14" s="607" t="s">
        <v>44</v>
      </c>
      <c r="B14" s="608" t="s">
        <v>504</v>
      </c>
      <c r="C14" s="533">
        <f t="shared" si="11"/>
        <v>0</v>
      </c>
      <c r="D14" s="538"/>
      <c r="E14" s="538"/>
      <c r="F14" s="538"/>
      <c r="G14" s="538"/>
      <c r="H14" s="533">
        <f t="shared" si="12"/>
        <v>0</v>
      </c>
      <c r="I14" s="533">
        <f t="shared" si="13"/>
        <v>0</v>
      </c>
      <c r="J14" s="538"/>
      <c r="K14" s="538"/>
      <c r="L14" s="538"/>
      <c r="M14" s="538"/>
      <c r="N14" s="538"/>
      <c r="O14" s="538"/>
      <c r="P14" s="538"/>
      <c r="Q14" s="538"/>
      <c r="R14" s="534">
        <f aca="true" t="shared" si="14" ref="R14:R21">+Q14+P14+O14+N14+M14+L14</f>
        <v>0</v>
      </c>
      <c r="S14" s="609" t="e">
        <f t="shared" si="1"/>
        <v>#DIV/0!</v>
      </c>
      <c r="T14" s="536" t="e">
        <f t="shared" si="4"/>
        <v>#DIV/0!</v>
      </c>
      <c r="U14" s="537">
        <f t="shared" si="5"/>
        <v>0</v>
      </c>
      <c r="V14" s="495"/>
      <c r="W14" s="504">
        <f t="shared" si="2"/>
        <v>0</v>
      </c>
      <c r="X14" s="505">
        <f t="shared" si="6"/>
        <v>0</v>
      </c>
      <c r="Y14" s="505" t="str">
        <f t="shared" si="7"/>
        <v>Đ</v>
      </c>
      <c r="Z14" s="508">
        <f t="shared" si="8"/>
        <v>0</v>
      </c>
      <c r="AA14" s="508"/>
      <c r="AB14" s="560" t="e">
        <f t="shared" si="9"/>
        <v>#DIV/0!</v>
      </c>
      <c r="AC14" s="513">
        <f t="shared" si="10"/>
        <v>0</v>
      </c>
    </row>
    <row r="15" spans="1:29" ht="21.75" customHeight="1">
      <c r="A15" s="607" t="s">
        <v>49</v>
      </c>
      <c r="B15" s="608" t="s">
        <v>503</v>
      </c>
      <c r="C15" s="533">
        <f t="shared" si="11"/>
        <v>66</v>
      </c>
      <c r="D15" s="533">
        <v>60</v>
      </c>
      <c r="E15" s="538">
        <v>6</v>
      </c>
      <c r="F15" s="538">
        <v>1</v>
      </c>
      <c r="G15" s="538"/>
      <c r="H15" s="533">
        <f t="shared" si="12"/>
        <v>65</v>
      </c>
      <c r="I15" s="533">
        <f t="shared" si="13"/>
        <v>36</v>
      </c>
      <c r="J15" s="538">
        <v>3</v>
      </c>
      <c r="K15" s="538"/>
      <c r="L15" s="538">
        <v>28</v>
      </c>
      <c r="M15" s="538">
        <v>2</v>
      </c>
      <c r="N15" s="538">
        <v>1</v>
      </c>
      <c r="O15" s="538"/>
      <c r="P15" s="538">
        <v>2</v>
      </c>
      <c r="Q15" s="538">
        <v>29</v>
      </c>
      <c r="R15" s="534">
        <f t="shared" si="14"/>
        <v>62</v>
      </c>
      <c r="S15" s="609">
        <f t="shared" si="1"/>
        <v>8.333333333333332</v>
      </c>
      <c r="T15" s="536">
        <f t="shared" si="4"/>
        <v>0.5538461538461539</v>
      </c>
      <c r="U15" s="537">
        <f t="shared" si="5"/>
        <v>33</v>
      </c>
      <c r="V15" s="495"/>
      <c r="W15" s="504">
        <f t="shared" si="2"/>
        <v>0</v>
      </c>
      <c r="X15" s="505">
        <f t="shared" si="6"/>
        <v>62</v>
      </c>
      <c r="Y15" s="505" t="str">
        <f t="shared" si="7"/>
        <v>Đ</v>
      </c>
      <c r="Z15" s="508">
        <f t="shared" si="8"/>
        <v>33</v>
      </c>
      <c r="AA15" s="508">
        <v>10</v>
      </c>
      <c r="AB15" s="560">
        <f t="shared" si="9"/>
        <v>229.99999999999997</v>
      </c>
      <c r="AC15" s="513">
        <f t="shared" si="10"/>
        <v>23</v>
      </c>
    </row>
    <row r="16" spans="1:29" ht="21.75" customHeight="1">
      <c r="A16" s="607" t="s">
        <v>58</v>
      </c>
      <c r="B16" s="608" t="s">
        <v>502</v>
      </c>
      <c r="C16" s="533">
        <f t="shared" si="11"/>
        <v>41</v>
      </c>
      <c r="D16" s="533">
        <f>13+26</f>
        <v>39</v>
      </c>
      <c r="E16" s="538">
        <v>2</v>
      </c>
      <c r="F16" s="538"/>
      <c r="G16" s="538"/>
      <c r="H16" s="533">
        <f t="shared" si="12"/>
        <v>41</v>
      </c>
      <c r="I16" s="533">
        <f t="shared" si="13"/>
        <v>27</v>
      </c>
      <c r="J16" s="538"/>
      <c r="K16" s="538"/>
      <c r="L16" s="538">
        <f>10+17</f>
        <v>27</v>
      </c>
      <c r="M16" s="538"/>
      <c r="N16" s="538"/>
      <c r="O16" s="538"/>
      <c r="P16" s="538"/>
      <c r="Q16" s="538">
        <v>14</v>
      </c>
      <c r="R16" s="534">
        <f t="shared" si="14"/>
        <v>41</v>
      </c>
      <c r="S16" s="609">
        <f t="shared" si="1"/>
        <v>0</v>
      </c>
      <c r="T16" s="536">
        <f t="shared" si="4"/>
        <v>0.6585365853658537</v>
      </c>
      <c r="U16" s="537">
        <f t="shared" si="5"/>
        <v>27</v>
      </c>
      <c r="V16" s="495">
        <v>1</v>
      </c>
      <c r="W16" s="504">
        <f t="shared" si="2"/>
        <v>0</v>
      </c>
      <c r="X16" s="505">
        <f t="shared" si="6"/>
        <v>41</v>
      </c>
      <c r="Y16" s="505" t="str">
        <f t="shared" si="7"/>
        <v>Đ</v>
      </c>
      <c r="Z16" s="508">
        <f t="shared" si="8"/>
        <v>27</v>
      </c>
      <c r="AA16" s="508">
        <v>32</v>
      </c>
      <c r="AB16" s="560">
        <f t="shared" si="9"/>
        <v>-15.625</v>
      </c>
      <c r="AC16" s="513">
        <f t="shared" si="10"/>
        <v>-5</v>
      </c>
    </row>
    <row r="17" spans="1:29" ht="21.75" customHeight="1">
      <c r="A17" s="607" t="s">
        <v>59</v>
      </c>
      <c r="B17" s="610" t="s">
        <v>501</v>
      </c>
      <c r="C17" s="533">
        <f t="shared" si="11"/>
        <v>42</v>
      </c>
      <c r="D17" s="538">
        <v>41</v>
      </c>
      <c r="E17" s="538">
        <v>1</v>
      </c>
      <c r="F17" s="538"/>
      <c r="G17" s="538"/>
      <c r="H17" s="533">
        <f t="shared" si="12"/>
        <v>42</v>
      </c>
      <c r="I17" s="533">
        <f t="shared" si="13"/>
        <v>8</v>
      </c>
      <c r="J17" s="538">
        <v>3</v>
      </c>
      <c r="K17" s="538"/>
      <c r="L17" s="538">
        <v>2</v>
      </c>
      <c r="M17" s="538"/>
      <c r="N17" s="538"/>
      <c r="O17" s="538"/>
      <c r="P17" s="538">
        <v>3</v>
      </c>
      <c r="Q17" s="538">
        <v>34</v>
      </c>
      <c r="R17" s="534">
        <f t="shared" si="14"/>
        <v>39</v>
      </c>
      <c r="S17" s="609">
        <f t="shared" si="1"/>
        <v>37.5</v>
      </c>
      <c r="T17" s="536">
        <f t="shared" si="4"/>
        <v>0.19047619047619047</v>
      </c>
      <c r="U17" s="537">
        <f t="shared" si="5"/>
        <v>5</v>
      </c>
      <c r="V17" s="495">
        <v>10</v>
      </c>
      <c r="W17" s="504">
        <f t="shared" si="2"/>
        <v>0</v>
      </c>
      <c r="X17" s="505">
        <f t="shared" si="6"/>
        <v>39</v>
      </c>
      <c r="Y17" s="505" t="str">
        <f t="shared" si="7"/>
        <v>Đ</v>
      </c>
      <c r="Z17" s="508">
        <f t="shared" si="8"/>
        <v>5</v>
      </c>
      <c r="AA17" s="508">
        <v>11</v>
      </c>
      <c r="AB17" s="560">
        <f t="shared" si="9"/>
        <v>-54.54545454545454</v>
      </c>
      <c r="AC17" s="513">
        <f t="shared" si="10"/>
        <v>-6</v>
      </c>
    </row>
    <row r="18" spans="1:29" ht="21.75" customHeight="1">
      <c r="A18" s="607" t="s">
        <v>60</v>
      </c>
      <c r="B18" s="608" t="s">
        <v>500</v>
      </c>
      <c r="C18" s="533">
        <f t="shared" si="11"/>
        <v>87</v>
      </c>
      <c r="D18" s="538">
        <v>79</v>
      </c>
      <c r="E18" s="538">
        <v>8</v>
      </c>
      <c r="F18" s="538"/>
      <c r="G18" s="538"/>
      <c r="H18" s="533">
        <f t="shared" si="12"/>
        <v>87</v>
      </c>
      <c r="I18" s="533">
        <f t="shared" si="13"/>
        <v>39</v>
      </c>
      <c r="J18" s="538">
        <v>9</v>
      </c>
      <c r="K18" s="538"/>
      <c r="L18" s="538">
        <v>29</v>
      </c>
      <c r="M18" s="538">
        <v>1</v>
      </c>
      <c r="N18" s="538"/>
      <c r="O18" s="538"/>
      <c r="P18" s="538"/>
      <c r="Q18" s="538">
        <v>48</v>
      </c>
      <c r="R18" s="534">
        <f t="shared" si="14"/>
        <v>78</v>
      </c>
      <c r="S18" s="609">
        <f t="shared" si="1"/>
        <v>23.076923076923077</v>
      </c>
      <c r="T18" s="536">
        <f t="shared" si="4"/>
        <v>0.4482758620689655</v>
      </c>
      <c r="U18" s="537">
        <f t="shared" si="5"/>
        <v>30</v>
      </c>
      <c r="V18" s="495">
        <v>3</v>
      </c>
      <c r="W18" s="504">
        <f t="shared" si="2"/>
        <v>0</v>
      </c>
      <c r="X18" s="505">
        <f t="shared" si="6"/>
        <v>78</v>
      </c>
      <c r="Y18" s="505" t="str">
        <f t="shared" si="7"/>
        <v>Đ</v>
      </c>
      <c r="Z18" s="508">
        <f t="shared" si="8"/>
        <v>30</v>
      </c>
      <c r="AA18" s="508">
        <v>9</v>
      </c>
      <c r="AB18" s="560">
        <f t="shared" si="9"/>
        <v>233.33333333333334</v>
      </c>
      <c r="AC18" s="513">
        <f t="shared" si="10"/>
        <v>21</v>
      </c>
    </row>
    <row r="19" spans="1:30" ht="21.75" customHeight="1">
      <c r="A19" s="607" t="s">
        <v>61</v>
      </c>
      <c r="B19" s="608" t="s">
        <v>567</v>
      </c>
      <c r="C19" s="533">
        <f t="shared" si="11"/>
        <v>52</v>
      </c>
      <c r="D19" s="538">
        <v>47</v>
      </c>
      <c r="E19" s="538">
        <v>5</v>
      </c>
      <c r="F19" s="538"/>
      <c r="G19" s="538">
        <v>1</v>
      </c>
      <c r="H19" s="533">
        <f t="shared" si="12"/>
        <v>52</v>
      </c>
      <c r="I19" s="533">
        <f t="shared" si="13"/>
        <v>32</v>
      </c>
      <c r="J19" s="538">
        <v>2</v>
      </c>
      <c r="K19" s="538"/>
      <c r="L19" s="538">
        <v>29</v>
      </c>
      <c r="M19" s="538"/>
      <c r="N19" s="538"/>
      <c r="O19" s="538"/>
      <c r="P19" s="538">
        <v>1</v>
      </c>
      <c r="Q19" s="538">
        <v>20</v>
      </c>
      <c r="R19" s="534">
        <f t="shared" si="14"/>
        <v>50</v>
      </c>
      <c r="S19" s="609">
        <f t="shared" si="1"/>
        <v>6.25</v>
      </c>
      <c r="T19" s="536">
        <f t="shared" si="4"/>
        <v>0.6153846153846154</v>
      </c>
      <c r="U19" s="537">
        <f t="shared" si="5"/>
        <v>30</v>
      </c>
      <c r="V19" s="495">
        <v>15</v>
      </c>
      <c r="W19" s="504">
        <f t="shared" si="2"/>
        <v>-1</v>
      </c>
      <c r="X19" s="505">
        <f t="shared" si="6"/>
        <v>50</v>
      </c>
      <c r="Y19" s="505" t="str">
        <f t="shared" si="7"/>
        <v>Đ</v>
      </c>
      <c r="Z19" s="508">
        <f t="shared" si="8"/>
        <v>30</v>
      </c>
      <c r="AA19" s="508">
        <v>24</v>
      </c>
      <c r="AB19" s="560">
        <f t="shared" si="9"/>
        <v>25</v>
      </c>
      <c r="AC19" s="513">
        <f t="shared" si="10"/>
        <v>6</v>
      </c>
      <c r="AD19" s="23" t="s">
        <v>572</v>
      </c>
    </row>
    <row r="20" spans="1:29" ht="21.75" customHeight="1">
      <c r="A20" s="607" t="s">
        <v>62</v>
      </c>
      <c r="B20" s="608" t="s">
        <v>565</v>
      </c>
      <c r="C20" s="533">
        <f t="shared" si="11"/>
        <v>59</v>
      </c>
      <c r="D20" s="538">
        <v>47</v>
      </c>
      <c r="E20" s="538">
        <v>12</v>
      </c>
      <c r="F20" s="538"/>
      <c r="G20" s="538"/>
      <c r="H20" s="533">
        <f t="shared" si="12"/>
        <v>59</v>
      </c>
      <c r="I20" s="533">
        <f t="shared" si="13"/>
        <v>29</v>
      </c>
      <c r="J20" s="538">
        <v>9</v>
      </c>
      <c r="K20" s="538"/>
      <c r="L20" s="538">
        <v>20</v>
      </c>
      <c r="M20" s="538"/>
      <c r="N20" s="538"/>
      <c r="O20" s="538"/>
      <c r="P20" s="538"/>
      <c r="Q20" s="538">
        <v>30</v>
      </c>
      <c r="R20" s="534">
        <f>+Q20+P20+O20+N20+M20+L20</f>
        <v>50</v>
      </c>
      <c r="S20" s="609">
        <f>(((J20+K20))/I20)*100</f>
        <v>31.03448275862069</v>
      </c>
      <c r="T20" s="536">
        <f>+I20/H20</f>
        <v>0.4915254237288136</v>
      </c>
      <c r="U20" s="537">
        <f>+R20-Q20</f>
        <v>20</v>
      </c>
      <c r="V20" s="495"/>
      <c r="W20" s="504">
        <f t="shared" si="2"/>
        <v>0</v>
      </c>
      <c r="X20" s="505">
        <f t="shared" si="6"/>
        <v>50</v>
      </c>
      <c r="Y20" s="505" t="str">
        <f t="shared" si="7"/>
        <v>Đ</v>
      </c>
      <c r="Z20" s="508"/>
      <c r="AA20" s="508"/>
      <c r="AB20" s="560"/>
      <c r="AC20" s="513"/>
    </row>
    <row r="21" spans="1:30" ht="21.75" customHeight="1">
      <c r="A21" s="607" t="s">
        <v>63</v>
      </c>
      <c r="B21" s="608" t="s">
        <v>574</v>
      </c>
      <c r="C21" s="533">
        <f t="shared" si="11"/>
        <v>0</v>
      </c>
      <c r="D21" s="538"/>
      <c r="E21" s="538"/>
      <c r="F21" s="538"/>
      <c r="G21" s="538"/>
      <c r="H21" s="533">
        <f t="shared" si="12"/>
        <v>0</v>
      </c>
      <c r="I21" s="533">
        <f t="shared" si="13"/>
        <v>0</v>
      </c>
      <c r="J21" s="538"/>
      <c r="K21" s="538"/>
      <c r="L21" s="538"/>
      <c r="M21" s="538"/>
      <c r="N21" s="538"/>
      <c r="O21" s="538"/>
      <c r="P21" s="538"/>
      <c r="Q21" s="538"/>
      <c r="R21" s="534">
        <f t="shared" si="14"/>
        <v>0</v>
      </c>
      <c r="S21" s="609" t="e">
        <f t="shared" si="1"/>
        <v>#DIV/0!</v>
      </c>
      <c r="T21" s="536" t="e">
        <f t="shared" si="4"/>
        <v>#DIV/0!</v>
      </c>
      <c r="U21" s="537">
        <f t="shared" si="5"/>
        <v>0</v>
      </c>
      <c r="V21" s="495"/>
      <c r="W21" s="504">
        <f t="shared" si="2"/>
        <v>0</v>
      </c>
      <c r="X21" s="505">
        <f t="shared" si="6"/>
        <v>0</v>
      </c>
      <c r="Y21" s="505" t="str">
        <f t="shared" si="7"/>
        <v>Đ</v>
      </c>
      <c r="Z21" s="508">
        <f t="shared" si="8"/>
        <v>0</v>
      </c>
      <c r="AA21" s="508">
        <v>12</v>
      </c>
      <c r="AB21" s="560">
        <f t="shared" si="9"/>
        <v>-100</v>
      </c>
      <c r="AC21" s="513">
        <f t="shared" si="10"/>
        <v>-12</v>
      </c>
      <c r="AD21" s="23" t="s">
        <v>571</v>
      </c>
    </row>
    <row r="22" spans="1:29" ht="21.75" customHeight="1">
      <c r="A22" s="606" t="s">
        <v>1</v>
      </c>
      <c r="B22" s="532" t="s">
        <v>17</v>
      </c>
      <c r="C22" s="533">
        <f aca="true" t="shared" si="15" ref="C22:C30">+D22+E22</f>
        <v>10682</v>
      </c>
      <c r="D22" s="533">
        <f>SUM(D23,D31,D37,D43,D48,D54,D61,D67,D73)</f>
        <v>8395</v>
      </c>
      <c r="E22" s="533">
        <f>SUM(E23,E31,E37,E43,E48,E54,E61,E67,E73)</f>
        <v>2287</v>
      </c>
      <c r="F22" s="533">
        <f>SUM(F23,F31,F37,F43,F48,F54,F61,F67,F73)</f>
        <v>9</v>
      </c>
      <c r="G22" s="533">
        <f>SUM(G23,G31,G37,G43,G48,G54,G61,G67,G73)</f>
        <v>1</v>
      </c>
      <c r="H22" s="533">
        <f aca="true" t="shared" si="16" ref="H22:H30">SUM(I22,Q22)</f>
        <v>10673</v>
      </c>
      <c r="I22" s="533">
        <f aca="true" t="shared" si="17" ref="I22:I30">SUM(J22:P22)</f>
        <v>6823</v>
      </c>
      <c r="J22" s="533">
        <f aca="true" t="shared" si="18" ref="J22:R22">SUM(J23,J31,J37,J43,J48,J54,J61,J67,J73)</f>
        <v>1328</v>
      </c>
      <c r="K22" s="533">
        <f t="shared" si="18"/>
        <v>31</v>
      </c>
      <c r="L22" s="533">
        <f t="shared" si="18"/>
        <v>5425</v>
      </c>
      <c r="M22" s="533">
        <f t="shared" si="18"/>
        <v>27</v>
      </c>
      <c r="N22" s="533">
        <f t="shared" si="18"/>
        <v>1</v>
      </c>
      <c r="O22" s="533">
        <f t="shared" si="18"/>
        <v>0</v>
      </c>
      <c r="P22" s="533">
        <f t="shared" si="18"/>
        <v>11</v>
      </c>
      <c r="Q22" s="533">
        <f t="shared" si="18"/>
        <v>3850</v>
      </c>
      <c r="R22" s="533">
        <f t="shared" si="18"/>
        <v>9314</v>
      </c>
      <c r="S22" s="535">
        <f t="shared" si="1"/>
        <v>19.917924666568958</v>
      </c>
      <c r="T22" s="536">
        <f t="shared" si="4"/>
        <v>0.6392766794715637</v>
      </c>
      <c r="U22" s="537">
        <f t="shared" si="5"/>
        <v>5464</v>
      </c>
      <c r="V22" s="473" t="e">
        <f>SUM(V23,V31,V37,V43,V48,V54,V61,V67,V73)</f>
        <v>#REF!</v>
      </c>
      <c r="W22" s="504">
        <f t="shared" si="2"/>
        <v>-1</v>
      </c>
      <c r="X22" s="505">
        <f t="shared" si="6"/>
        <v>9314</v>
      </c>
      <c r="Y22" s="505" t="str">
        <f t="shared" si="7"/>
        <v>Đ</v>
      </c>
      <c r="Z22" s="509">
        <f t="shared" si="8"/>
        <v>5464</v>
      </c>
      <c r="AA22" s="533" t="e">
        <f>+AA23+AA31+AA37+AA43+AA48+AA54+AA61+AA67+AA73</f>
        <v>#REF!</v>
      </c>
      <c r="AB22" s="560" t="e">
        <f>(((Z22)-AA22)/AA22)*100</f>
        <v>#REF!</v>
      </c>
      <c r="AC22" s="513" t="e">
        <f t="shared" si="10"/>
        <v>#REF!</v>
      </c>
    </row>
    <row r="23" spans="1:29" ht="21.75" customHeight="1">
      <c r="A23" s="606" t="s">
        <v>43</v>
      </c>
      <c r="B23" s="532" t="s">
        <v>497</v>
      </c>
      <c r="C23" s="533">
        <f t="shared" si="15"/>
        <v>1231</v>
      </c>
      <c r="D23" s="533">
        <f>SUM(D24:D30)</f>
        <v>959</v>
      </c>
      <c r="E23" s="533">
        <f>SUM(E24:E30)</f>
        <v>272</v>
      </c>
      <c r="F23" s="533">
        <f>SUM(F24:F30)</f>
        <v>0</v>
      </c>
      <c r="G23" s="533">
        <f>SUM(G24:G30)</f>
        <v>1</v>
      </c>
      <c r="H23" s="533">
        <f t="shared" si="16"/>
        <v>1231</v>
      </c>
      <c r="I23" s="533">
        <f t="shared" si="17"/>
        <v>653</v>
      </c>
      <c r="J23" s="533">
        <f aca="true" t="shared" si="19" ref="J23:Q23">SUM(J24:J30)</f>
        <v>140</v>
      </c>
      <c r="K23" s="533">
        <f t="shared" si="19"/>
        <v>1</v>
      </c>
      <c r="L23" s="533">
        <f t="shared" si="19"/>
        <v>482</v>
      </c>
      <c r="M23" s="533">
        <f t="shared" si="19"/>
        <v>20</v>
      </c>
      <c r="N23" s="533">
        <f t="shared" si="19"/>
        <v>0</v>
      </c>
      <c r="O23" s="533">
        <f t="shared" si="19"/>
        <v>0</v>
      </c>
      <c r="P23" s="533">
        <f t="shared" si="19"/>
        <v>10</v>
      </c>
      <c r="Q23" s="533">
        <f t="shared" si="19"/>
        <v>578</v>
      </c>
      <c r="R23" s="534">
        <f aca="true" t="shared" si="20" ref="R23:R30">SUM(L23:Q23)</f>
        <v>1090</v>
      </c>
      <c r="S23" s="535">
        <f t="shared" si="1"/>
        <v>21.592649310872893</v>
      </c>
      <c r="T23" s="536">
        <f t="shared" si="4"/>
        <v>0.5304630381803412</v>
      </c>
      <c r="U23" s="537">
        <f t="shared" si="5"/>
        <v>512</v>
      </c>
      <c r="V23" s="476" t="e">
        <f>+V24+V25+V26+V27+V29+V30+#REF!</f>
        <v>#REF!</v>
      </c>
      <c r="W23" s="504">
        <f t="shared" si="2"/>
        <v>-1</v>
      </c>
      <c r="X23" s="505">
        <f t="shared" si="6"/>
        <v>1090</v>
      </c>
      <c r="Y23" s="505" t="str">
        <f t="shared" si="7"/>
        <v>Đ</v>
      </c>
      <c r="Z23" s="509">
        <f t="shared" si="8"/>
        <v>512</v>
      </c>
      <c r="AA23" s="534" t="e">
        <f>+AA24+AA25+AA26+AA27+AA28+AA30+#REF!</f>
        <v>#REF!</v>
      </c>
      <c r="AB23" s="560" t="e">
        <f t="shared" si="9"/>
        <v>#REF!</v>
      </c>
      <c r="AC23" s="513" t="e">
        <f t="shared" si="10"/>
        <v>#REF!</v>
      </c>
    </row>
    <row r="24" spans="1:29" ht="21.75" customHeight="1">
      <c r="A24" s="607" t="s">
        <v>45</v>
      </c>
      <c r="B24" s="628" t="s">
        <v>496</v>
      </c>
      <c r="C24" s="533">
        <f t="shared" si="15"/>
        <v>76</v>
      </c>
      <c r="D24" s="611">
        <v>48</v>
      </c>
      <c r="E24" s="611">
        <v>28</v>
      </c>
      <c r="F24" s="611">
        <v>0</v>
      </c>
      <c r="G24" s="611">
        <v>0</v>
      </c>
      <c r="H24" s="533">
        <f t="shared" si="16"/>
        <v>76</v>
      </c>
      <c r="I24" s="533">
        <f t="shared" si="17"/>
        <v>44</v>
      </c>
      <c r="J24" s="611">
        <v>11</v>
      </c>
      <c r="K24" s="611">
        <v>0</v>
      </c>
      <c r="L24" s="611">
        <v>32</v>
      </c>
      <c r="M24" s="611">
        <v>0</v>
      </c>
      <c r="N24" s="611">
        <v>0</v>
      </c>
      <c r="O24" s="611">
        <v>0</v>
      </c>
      <c r="P24" s="611">
        <v>1</v>
      </c>
      <c r="Q24" s="611">
        <v>32</v>
      </c>
      <c r="R24" s="534">
        <f t="shared" si="20"/>
        <v>65</v>
      </c>
      <c r="S24" s="539">
        <f t="shared" si="1"/>
        <v>25</v>
      </c>
      <c r="T24" s="536">
        <f t="shared" si="4"/>
        <v>0.5789473684210527</v>
      </c>
      <c r="U24" s="537">
        <f t="shared" si="5"/>
        <v>33</v>
      </c>
      <c r="V24" s="475"/>
      <c r="W24" s="504">
        <f t="shared" si="2"/>
        <v>0</v>
      </c>
      <c r="X24" s="505">
        <f t="shared" si="6"/>
        <v>65</v>
      </c>
      <c r="Y24" s="505" t="str">
        <f t="shared" si="7"/>
        <v>Đ</v>
      </c>
      <c r="Z24" s="508">
        <f t="shared" si="8"/>
        <v>33</v>
      </c>
      <c r="AA24" s="508">
        <v>21</v>
      </c>
      <c r="AB24" s="560">
        <f t="shared" si="9"/>
        <v>57.14285714285714</v>
      </c>
      <c r="AC24" s="513">
        <f t="shared" si="10"/>
        <v>12</v>
      </c>
    </row>
    <row r="25" spans="1:29" ht="21.75" customHeight="1">
      <c r="A25" s="607" t="s">
        <v>46</v>
      </c>
      <c r="B25" s="628" t="s">
        <v>559</v>
      </c>
      <c r="C25" s="533">
        <f t="shared" si="15"/>
        <v>138</v>
      </c>
      <c r="D25" s="611">
        <v>105</v>
      </c>
      <c r="E25" s="611">
        <v>33</v>
      </c>
      <c r="F25" s="611">
        <v>0</v>
      </c>
      <c r="G25" s="611">
        <v>1</v>
      </c>
      <c r="H25" s="533">
        <f t="shared" si="16"/>
        <v>138</v>
      </c>
      <c r="I25" s="533">
        <f t="shared" si="17"/>
        <v>70</v>
      </c>
      <c r="J25" s="611">
        <v>14</v>
      </c>
      <c r="K25" s="611">
        <v>0</v>
      </c>
      <c r="L25" s="611">
        <v>56</v>
      </c>
      <c r="M25" s="611">
        <v>0</v>
      </c>
      <c r="N25" s="611">
        <v>0</v>
      </c>
      <c r="O25" s="611">
        <v>0</v>
      </c>
      <c r="P25" s="611">
        <v>0</v>
      </c>
      <c r="Q25" s="611">
        <v>68</v>
      </c>
      <c r="R25" s="534">
        <f t="shared" si="20"/>
        <v>124</v>
      </c>
      <c r="S25" s="539">
        <f t="shared" si="1"/>
        <v>20</v>
      </c>
      <c r="T25" s="536">
        <f t="shared" si="4"/>
        <v>0.5072463768115942</v>
      </c>
      <c r="U25" s="537">
        <f t="shared" si="5"/>
        <v>56</v>
      </c>
      <c r="V25" s="475"/>
      <c r="W25" s="504">
        <f t="shared" si="2"/>
        <v>-1</v>
      </c>
      <c r="X25" s="505">
        <f t="shared" si="6"/>
        <v>124</v>
      </c>
      <c r="Y25" s="505" t="str">
        <f t="shared" si="7"/>
        <v>Đ</v>
      </c>
      <c r="Z25" s="508">
        <f t="shared" si="8"/>
        <v>56</v>
      </c>
      <c r="AA25" s="508">
        <v>91</v>
      </c>
      <c r="AB25" s="560">
        <f t="shared" si="9"/>
        <v>-38.46153846153847</v>
      </c>
      <c r="AC25" s="513">
        <f t="shared" si="10"/>
        <v>-35</v>
      </c>
    </row>
    <row r="26" spans="1:29" ht="21.75" customHeight="1">
      <c r="A26" s="607" t="s">
        <v>104</v>
      </c>
      <c r="B26" s="628" t="s">
        <v>493</v>
      </c>
      <c r="C26" s="533">
        <f t="shared" si="15"/>
        <v>203</v>
      </c>
      <c r="D26" s="611">
        <v>161</v>
      </c>
      <c r="E26" s="611">
        <v>42</v>
      </c>
      <c r="F26" s="611">
        <v>0</v>
      </c>
      <c r="G26" s="611">
        <v>0</v>
      </c>
      <c r="H26" s="533">
        <f t="shared" si="16"/>
        <v>203</v>
      </c>
      <c r="I26" s="533">
        <f t="shared" si="17"/>
        <v>97</v>
      </c>
      <c r="J26" s="611">
        <v>21</v>
      </c>
      <c r="K26" s="611">
        <v>0</v>
      </c>
      <c r="L26" s="611">
        <v>70</v>
      </c>
      <c r="M26" s="611">
        <v>1</v>
      </c>
      <c r="N26" s="611">
        <v>0</v>
      </c>
      <c r="O26" s="611">
        <v>0</v>
      </c>
      <c r="P26" s="611">
        <v>5</v>
      </c>
      <c r="Q26" s="611">
        <v>106</v>
      </c>
      <c r="R26" s="534">
        <f t="shared" si="20"/>
        <v>182</v>
      </c>
      <c r="S26" s="539">
        <f t="shared" si="1"/>
        <v>21.649484536082475</v>
      </c>
      <c r="T26" s="536">
        <f t="shared" si="4"/>
        <v>0.47783251231527096</v>
      </c>
      <c r="U26" s="537">
        <f t="shared" si="5"/>
        <v>76</v>
      </c>
      <c r="V26" s="475"/>
      <c r="W26" s="504">
        <f t="shared" si="2"/>
        <v>0</v>
      </c>
      <c r="X26" s="505">
        <f t="shared" si="6"/>
        <v>182</v>
      </c>
      <c r="Y26" s="505" t="str">
        <f t="shared" si="7"/>
        <v>Đ</v>
      </c>
      <c r="Z26" s="508">
        <f t="shared" si="8"/>
        <v>76</v>
      </c>
      <c r="AA26" s="508">
        <v>66</v>
      </c>
      <c r="AB26" s="560">
        <f t="shared" si="9"/>
        <v>15.151515151515152</v>
      </c>
      <c r="AC26" s="513">
        <f t="shared" si="10"/>
        <v>10</v>
      </c>
    </row>
    <row r="27" spans="1:29" ht="21.75" customHeight="1">
      <c r="A27" s="607" t="s">
        <v>106</v>
      </c>
      <c r="B27" s="628" t="s">
        <v>548</v>
      </c>
      <c r="C27" s="533">
        <f t="shared" si="15"/>
        <v>168</v>
      </c>
      <c r="D27" s="611">
        <v>128</v>
      </c>
      <c r="E27" s="611">
        <v>40</v>
      </c>
      <c r="F27" s="611">
        <v>0</v>
      </c>
      <c r="G27" s="611">
        <v>0</v>
      </c>
      <c r="H27" s="533">
        <f t="shared" si="16"/>
        <v>168</v>
      </c>
      <c r="I27" s="533">
        <f t="shared" si="17"/>
        <v>86</v>
      </c>
      <c r="J27" s="611">
        <v>23</v>
      </c>
      <c r="K27" s="611">
        <v>0</v>
      </c>
      <c r="L27" s="611">
        <v>63</v>
      </c>
      <c r="M27" s="611">
        <v>0</v>
      </c>
      <c r="N27" s="611">
        <v>0</v>
      </c>
      <c r="O27" s="611">
        <v>0</v>
      </c>
      <c r="P27" s="611">
        <v>0</v>
      </c>
      <c r="Q27" s="611">
        <v>82</v>
      </c>
      <c r="R27" s="534">
        <f t="shared" si="20"/>
        <v>145</v>
      </c>
      <c r="S27" s="539">
        <f t="shared" si="1"/>
        <v>26.744186046511626</v>
      </c>
      <c r="T27" s="536">
        <f t="shared" si="4"/>
        <v>0.5119047619047619</v>
      </c>
      <c r="U27" s="537">
        <f t="shared" si="5"/>
        <v>63</v>
      </c>
      <c r="V27" s="475"/>
      <c r="W27" s="504">
        <f t="shared" si="2"/>
        <v>0</v>
      </c>
      <c r="X27" s="505">
        <f t="shared" si="6"/>
        <v>145</v>
      </c>
      <c r="Y27" s="505" t="str">
        <f t="shared" si="7"/>
        <v>Đ</v>
      </c>
      <c r="Z27" s="508">
        <f t="shared" si="8"/>
        <v>63</v>
      </c>
      <c r="AA27" s="508">
        <v>98</v>
      </c>
      <c r="AB27" s="560">
        <f t="shared" si="9"/>
        <v>-35.714285714285715</v>
      </c>
      <c r="AC27" s="513">
        <f t="shared" si="10"/>
        <v>-35</v>
      </c>
    </row>
    <row r="28" spans="1:29" ht="21.75" customHeight="1">
      <c r="A28" s="607" t="s">
        <v>107</v>
      </c>
      <c r="B28" s="628" t="s">
        <v>494</v>
      </c>
      <c r="C28" s="533">
        <f t="shared" si="15"/>
        <v>232</v>
      </c>
      <c r="D28" s="611">
        <v>188</v>
      </c>
      <c r="E28" s="611">
        <v>44</v>
      </c>
      <c r="F28" s="611">
        <v>0</v>
      </c>
      <c r="G28" s="611">
        <v>0</v>
      </c>
      <c r="H28" s="533">
        <f>SUM(I28,Q28)</f>
        <v>232</v>
      </c>
      <c r="I28" s="533">
        <f t="shared" si="17"/>
        <v>124</v>
      </c>
      <c r="J28" s="611">
        <v>14</v>
      </c>
      <c r="K28" s="611">
        <v>1</v>
      </c>
      <c r="L28" s="611">
        <v>106</v>
      </c>
      <c r="M28" s="611">
        <v>0</v>
      </c>
      <c r="N28" s="611">
        <v>0</v>
      </c>
      <c r="O28" s="611">
        <v>0</v>
      </c>
      <c r="P28" s="611">
        <v>3</v>
      </c>
      <c r="Q28" s="611">
        <v>108</v>
      </c>
      <c r="R28" s="534">
        <f t="shared" si="20"/>
        <v>217</v>
      </c>
      <c r="S28" s="539">
        <f t="shared" si="1"/>
        <v>12.096774193548388</v>
      </c>
      <c r="T28" s="536">
        <f>+I28/H28</f>
        <v>0.5344827586206896</v>
      </c>
      <c r="U28" s="537">
        <f t="shared" si="5"/>
        <v>109</v>
      </c>
      <c r="V28" s="475"/>
      <c r="W28" s="504">
        <f>+C28-(F28+G28+H28)</f>
        <v>0</v>
      </c>
      <c r="X28" s="505">
        <f t="shared" si="6"/>
        <v>217</v>
      </c>
      <c r="Y28" s="505" t="str">
        <f t="shared" si="7"/>
        <v>Đ</v>
      </c>
      <c r="Z28" s="508">
        <f t="shared" si="8"/>
        <v>109</v>
      </c>
      <c r="AA28" s="508">
        <v>67</v>
      </c>
      <c r="AB28" s="560">
        <f t="shared" si="9"/>
        <v>62.68656716417911</v>
      </c>
      <c r="AC28" s="513">
        <f t="shared" si="10"/>
        <v>42</v>
      </c>
    </row>
    <row r="29" spans="1:29" ht="21.75" customHeight="1">
      <c r="A29" s="607" t="s">
        <v>109</v>
      </c>
      <c r="B29" s="628" t="s">
        <v>535</v>
      </c>
      <c r="C29" s="533">
        <f t="shared" si="15"/>
        <v>256</v>
      </c>
      <c r="D29" s="611">
        <v>219</v>
      </c>
      <c r="E29" s="611">
        <v>37</v>
      </c>
      <c r="F29" s="611">
        <v>0</v>
      </c>
      <c r="G29" s="611">
        <v>0</v>
      </c>
      <c r="H29" s="533">
        <f>SUM(I29,Q29)</f>
        <v>256</v>
      </c>
      <c r="I29" s="533">
        <f t="shared" si="17"/>
        <v>133</v>
      </c>
      <c r="J29" s="611">
        <v>20</v>
      </c>
      <c r="K29" s="611">
        <v>0</v>
      </c>
      <c r="L29" s="611">
        <v>94</v>
      </c>
      <c r="M29" s="611">
        <v>19</v>
      </c>
      <c r="N29" s="611">
        <v>0</v>
      </c>
      <c r="O29" s="611">
        <v>0</v>
      </c>
      <c r="P29" s="611">
        <v>0</v>
      </c>
      <c r="Q29" s="611">
        <v>123</v>
      </c>
      <c r="R29" s="534">
        <f t="shared" si="20"/>
        <v>236</v>
      </c>
      <c r="S29" s="539">
        <f t="shared" si="1"/>
        <v>15.037593984962406</v>
      </c>
      <c r="T29" s="536">
        <f>+I29/H29</f>
        <v>0.51953125</v>
      </c>
      <c r="U29" s="537">
        <f t="shared" si="5"/>
        <v>113</v>
      </c>
      <c r="V29" s="475"/>
      <c r="W29" s="504">
        <f>+C29-(F29+G29+H29)</f>
        <v>0</v>
      </c>
      <c r="X29" s="505">
        <f t="shared" si="6"/>
        <v>236</v>
      </c>
      <c r="Y29" s="505" t="str">
        <f t="shared" si="7"/>
        <v>Đ</v>
      </c>
      <c r="Z29" s="508"/>
      <c r="AA29" s="508"/>
      <c r="AB29" s="560"/>
      <c r="AC29" s="513"/>
    </row>
    <row r="30" spans="1:29" ht="21.75" customHeight="1">
      <c r="A30" s="607" t="s">
        <v>110</v>
      </c>
      <c r="B30" s="628" t="s">
        <v>577</v>
      </c>
      <c r="C30" s="533">
        <f t="shared" si="15"/>
        <v>158</v>
      </c>
      <c r="D30" s="611">
        <v>110</v>
      </c>
      <c r="E30" s="611">
        <v>48</v>
      </c>
      <c r="F30" s="611">
        <v>0</v>
      </c>
      <c r="G30" s="611">
        <v>0</v>
      </c>
      <c r="H30" s="533">
        <f t="shared" si="16"/>
        <v>158</v>
      </c>
      <c r="I30" s="533">
        <f t="shared" si="17"/>
        <v>99</v>
      </c>
      <c r="J30" s="611">
        <v>37</v>
      </c>
      <c r="K30" s="611">
        <v>0</v>
      </c>
      <c r="L30" s="611">
        <v>61</v>
      </c>
      <c r="M30" s="611">
        <v>0</v>
      </c>
      <c r="N30" s="611">
        <v>0</v>
      </c>
      <c r="O30" s="611">
        <v>0</v>
      </c>
      <c r="P30" s="611">
        <v>1</v>
      </c>
      <c r="Q30" s="611">
        <v>59</v>
      </c>
      <c r="R30" s="534">
        <f t="shared" si="20"/>
        <v>121</v>
      </c>
      <c r="S30" s="539">
        <f t="shared" si="1"/>
        <v>37.37373737373738</v>
      </c>
      <c r="T30" s="536">
        <f t="shared" si="4"/>
        <v>0.6265822784810127</v>
      </c>
      <c r="U30" s="537">
        <f t="shared" si="5"/>
        <v>62</v>
      </c>
      <c r="V30" s="475"/>
      <c r="W30" s="504">
        <f t="shared" si="2"/>
        <v>0</v>
      </c>
      <c r="X30" s="505">
        <f t="shared" si="6"/>
        <v>121</v>
      </c>
      <c r="Y30" s="505" t="str">
        <f t="shared" si="7"/>
        <v>Đ</v>
      </c>
      <c r="Z30" s="508">
        <f t="shared" si="8"/>
        <v>62</v>
      </c>
      <c r="AA30" s="508">
        <v>105</v>
      </c>
      <c r="AB30" s="560">
        <f t="shared" si="9"/>
        <v>-40.95238095238095</v>
      </c>
      <c r="AC30" s="513">
        <f t="shared" si="10"/>
        <v>-43</v>
      </c>
    </row>
    <row r="31" spans="1:29" ht="21.75" customHeight="1">
      <c r="A31" s="606" t="s">
        <v>44</v>
      </c>
      <c r="B31" s="532" t="s">
        <v>492</v>
      </c>
      <c r="C31" s="533">
        <f>C32+C33+C34+C35+C36</f>
        <v>1774</v>
      </c>
      <c r="D31" s="533">
        <f aca="true" t="shared" si="21" ref="D31:R31">D32+D33+D34+D35+D36</f>
        <v>1324</v>
      </c>
      <c r="E31" s="533">
        <f t="shared" si="21"/>
        <v>450</v>
      </c>
      <c r="F31" s="533">
        <f t="shared" si="21"/>
        <v>7</v>
      </c>
      <c r="G31" s="533">
        <f t="shared" si="21"/>
        <v>0</v>
      </c>
      <c r="H31" s="533">
        <f t="shared" si="21"/>
        <v>1767</v>
      </c>
      <c r="I31" s="533">
        <f t="shared" si="21"/>
        <v>1188</v>
      </c>
      <c r="J31" s="533">
        <f t="shared" si="21"/>
        <v>305</v>
      </c>
      <c r="K31" s="533">
        <f t="shared" si="21"/>
        <v>5</v>
      </c>
      <c r="L31" s="533">
        <f t="shared" si="21"/>
        <v>878</v>
      </c>
      <c r="M31" s="533">
        <f t="shared" si="21"/>
        <v>0</v>
      </c>
      <c r="N31" s="533">
        <f t="shared" si="21"/>
        <v>0</v>
      </c>
      <c r="O31" s="533">
        <f t="shared" si="21"/>
        <v>0</v>
      </c>
      <c r="P31" s="533">
        <f t="shared" si="21"/>
        <v>0</v>
      </c>
      <c r="Q31" s="533">
        <f t="shared" si="21"/>
        <v>579</v>
      </c>
      <c r="R31" s="533">
        <f t="shared" si="21"/>
        <v>1457</v>
      </c>
      <c r="S31" s="539">
        <f t="shared" si="1"/>
        <v>26.094276094276093</v>
      </c>
      <c r="T31" s="536">
        <f t="shared" si="4"/>
        <v>0.6723259762308998</v>
      </c>
      <c r="U31" s="537">
        <f t="shared" si="5"/>
        <v>878</v>
      </c>
      <c r="V31" s="473">
        <f>V32+V33+V34+V35+V36</f>
        <v>0</v>
      </c>
      <c r="W31" s="504">
        <f t="shared" si="2"/>
        <v>0</v>
      </c>
      <c r="X31" s="505">
        <f t="shared" si="6"/>
        <v>1457</v>
      </c>
      <c r="Y31" s="505" t="str">
        <f t="shared" si="7"/>
        <v>Đ</v>
      </c>
      <c r="Z31" s="509">
        <f t="shared" si="8"/>
        <v>878</v>
      </c>
      <c r="AA31" s="509">
        <v>269</v>
      </c>
      <c r="AB31" s="560">
        <f t="shared" si="9"/>
        <v>226.39405204460968</v>
      </c>
      <c r="AC31" s="513">
        <f t="shared" si="10"/>
        <v>609</v>
      </c>
    </row>
    <row r="32" spans="1:29" ht="21.75" customHeight="1">
      <c r="A32" s="607" t="s">
        <v>47</v>
      </c>
      <c r="B32" s="612" t="s">
        <v>542</v>
      </c>
      <c r="C32" s="533">
        <f>+D32+E32</f>
        <v>156</v>
      </c>
      <c r="D32" s="554">
        <v>112</v>
      </c>
      <c r="E32" s="554">
        <v>44</v>
      </c>
      <c r="F32" s="554">
        <v>6</v>
      </c>
      <c r="G32" s="554"/>
      <c r="H32" s="538">
        <f>I32+Q32</f>
        <v>150</v>
      </c>
      <c r="I32" s="533">
        <f>J32+K32+L32+M32+N32+O32+P32</f>
        <v>93</v>
      </c>
      <c r="J32" s="554">
        <v>34</v>
      </c>
      <c r="K32" s="554"/>
      <c r="L32" s="554">
        <v>59</v>
      </c>
      <c r="M32" s="554">
        <v>0</v>
      </c>
      <c r="N32" s="554">
        <v>0</v>
      </c>
      <c r="O32" s="554">
        <v>0</v>
      </c>
      <c r="P32" s="554">
        <v>0</v>
      </c>
      <c r="Q32" s="554">
        <v>57</v>
      </c>
      <c r="R32" s="613">
        <f>+Q32+P32+O32+N32+M32+L32</f>
        <v>116</v>
      </c>
      <c r="S32" s="539">
        <f t="shared" si="1"/>
        <v>36.55913978494624</v>
      </c>
      <c r="T32" s="536">
        <f t="shared" si="4"/>
        <v>0.62</v>
      </c>
      <c r="U32" s="537">
        <f t="shared" si="5"/>
        <v>59</v>
      </c>
      <c r="V32" s="475"/>
      <c r="W32" s="504">
        <f t="shared" si="2"/>
        <v>0</v>
      </c>
      <c r="X32" s="505">
        <f t="shared" si="6"/>
        <v>116</v>
      </c>
      <c r="Y32" s="505" t="str">
        <f t="shared" si="7"/>
        <v>Đ</v>
      </c>
      <c r="Z32" s="508">
        <f t="shared" si="8"/>
        <v>59</v>
      </c>
      <c r="AA32" s="508">
        <v>8</v>
      </c>
      <c r="AB32" s="560">
        <f t="shared" si="9"/>
        <v>637.5</v>
      </c>
      <c r="AC32" s="513">
        <f t="shared" si="10"/>
        <v>51</v>
      </c>
    </row>
    <row r="33" spans="1:29" ht="21.75" customHeight="1">
      <c r="A33" s="607" t="s">
        <v>48</v>
      </c>
      <c r="B33" s="614" t="s">
        <v>491</v>
      </c>
      <c r="C33" s="533">
        <f>+D33+E33</f>
        <v>435</v>
      </c>
      <c r="D33" s="554">
        <v>353</v>
      </c>
      <c r="E33" s="554">
        <v>82</v>
      </c>
      <c r="F33" s="554"/>
      <c r="G33" s="554"/>
      <c r="H33" s="533">
        <f>I33+Q33</f>
        <v>435</v>
      </c>
      <c r="I33" s="533">
        <f>J33+K33+L33+M33+N33+O33+P33</f>
        <v>259</v>
      </c>
      <c r="J33" s="554">
        <v>58</v>
      </c>
      <c r="K33" s="554"/>
      <c r="L33" s="554">
        <v>201</v>
      </c>
      <c r="M33" s="554"/>
      <c r="N33" s="554"/>
      <c r="O33" s="554"/>
      <c r="P33" s="554"/>
      <c r="Q33" s="554">
        <v>176</v>
      </c>
      <c r="R33" s="534">
        <f>+Q33+P33+O33+N33+M33+L33</f>
        <v>377</v>
      </c>
      <c r="S33" s="539">
        <f t="shared" si="1"/>
        <v>22.393822393822393</v>
      </c>
      <c r="T33" s="536">
        <f t="shared" si="4"/>
        <v>0.5954022988505747</v>
      </c>
      <c r="U33" s="537">
        <f t="shared" si="5"/>
        <v>201</v>
      </c>
      <c r="V33" s="475"/>
      <c r="W33" s="504">
        <f t="shared" si="2"/>
        <v>0</v>
      </c>
      <c r="X33" s="505">
        <f t="shared" si="6"/>
        <v>377</v>
      </c>
      <c r="Y33" s="505" t="str">
        <f t="shared" si="7"/>
        <v>Đ</v>
      </c>
      <c r="Z33" s="508">
        <f t="shared" si="8"/>
        <v>201</v>
      </c>
      <c r="AA33" s="508">
        <v>64</v>
      </c>
      <c r="AB33" s="560">
        <f t="shared" si="9"/>
        <v>214.0625</v>
      </c>
      <c r="AC33" s="513">
        <f t="shared" si="10"/>
        <v>137</v>
      </c>
    </row>
    <row r="34" spans="1:29" ht="21.75" customHeight="1">
      <c r="A34" s="607" t="s">
        <v>490</v>
      </c>
      <c r="B34" s="614" t="s">
        <v>495</v>
      </c>
      <c r="C34" s="533">
        <f>+D34+E34</f>
        <v>466</v>
      </c>
      <c r="D34" s="554">
        <v>335</v>
      </c>
      <c r="E34" s="554">
        <v>131</v>
      </c>
      <c r="F34" s="554">
        <v>1</v>
      </c>
      <c r="G34" s="554">
        <v>0</v>
      </c>
      <c r="H34" s="533">
        <f>I34+Q34</f>
        <v>465</v>
      </c>
      <c r="I34" s="533">
        <f>J34+K34+L34+M34+N34+O34+P34</f>
        <v>381</v>
      </c>
      <c r="J34" s="554">
        <v>103</v>
      </c>
      <c r="K34" s="554">
        <v>4</v>
      </c>
      <c r="L34" s="554">
        <v>274</v>
      </c>
      <c r="M34" s="554"/>
      <c r="N34" s="554"/>
      <c r="O34" s="554"/>
      <c r="P34" s="554">
        <v>0</v>
      </c>
      <c r="Q34" s="627">
        <v>84</v>
      </c>
      <c r="R34" s="534">
        <f>+Q34+P34+O34+N34+M34+L34</f>
        <v>358</v>
      </c>
      <c r="S34" s="539">
        <f t="shared" si="1"/>
        <v>28.083989501312335</v>
      </c>
      <c r="T34" s="536">
        <f t="shared" si="4"/>
        <v>0.8193548387096774</v>
      </c>
      <c r="U34" s="537">
        <f t="shared" si="5"/>
        <v>274</v>
      </c>
      <c r="V34" s="475"/>
      <c r="W34" s="504">
        <f t="shared" si="2"/>
        <v>0</v>
      </c>
      <c r="X34" s="505">
        <f t="shared" si="6"/>
        <v>358</v>
      </c>
      <c r="Y34" s="505" t="str">
        <f t="shared" si="7"/>
        <v>Đ</v>
      </c>
      <c r="Z34" s="508">
        <f t="shared" si="8"/>
        <v>274</v>
      </c>
      <c r="AA34" s="508"/>
      <c r="AB34" s="560" t="e">
        <f t="shared" si="9"/>
        <v>#DIV/0!</v>
      </c>
      <c r="AC34" s="513">
        <f t="shared" si="10"/>
        <v>274</v>
      </c>
    </row>
    <row r="35" spans="1:29" ht="21.75" customHeight="1">
      <c r="A35" s="607" t="s">
        <v>488</v>
      </c>
      <c r="B35" s="614" t="s">
        <v>487</v>
      </c>
      <c r="C35" s="533">
        <f>+D35+E35</f>
        <v>381</v>
      </c>
      <c r="D35" s="554">
        <v>286</v>
      </c>
      <c r="E35" s="554">
        <v>95</v>
      </c>
      <c r="F35" s="554"/>
      <c r="G35" s="554"/>
      <c r="H35" s="533">
        <f>I35+Q35</f>
        <v>381</v>
      </c>
      <c r="I35" s="533">
        <f>J35+K35+L35+M35+N35+O35+P35</f>
        <v>210</v>
      </c>
      <c r="J35" s="554">
        <v>58</v>
      </c>
      <c r="K35" s="554">
        <v>1</v>
      </c>
      <c r="L35" s="554">
        <v>151</v>
      </c>
      <c r="M35" s="554"/>
      <c r="N35" s="554"/>
      <c r="O35" s="554"/>
      <c r="P35" s="554">
        <v>0</v>
      </c>
      <c r="Q35" s="627">
        <v>171</v>
      </c>
      <c r="R35" s="534">
        <f>+Q35+P35+O35+N35+M35+L35</f>
        <v>322</v>
      </c>
      <c r="S35" s="539">
        <f t="shared" si="1"/>
        <v>28.095238095238095</v>
      </c>
      <c r="T35" s="536">
        <f t="shared" si="4"/>
        <v>0.5511811023622047</v>
      </c>
      <c r="U35" s="537">
        <f t="shared" si="5"/>
        <v>151</v>
      </c>
      <c r="V35" s="475"/>
      <c r="W35" s="504">
        <f t="shared" si="2"/>
        <v>0</v>
      </c>
      <c r="X35" s="505">
        <f t="shared" si="6"/>
        <v>322</v>
      </c>
      <c r="Y35" s="505" t="str">
        <f t="shared" si="7"/>
        <v>Đ</v>
      </c>
      <c r="Z35" s="508">
        <f t="shared" si="8"/>
        <v>151</v>
      </c>
      <c r="AA35" s="508">
        <v>48</v>
      </c>
      <c r="AB35" s="560">
        <f t="shared" si="9"/>
        <v>214.58333333333334</v>
      </c>
      <c r="AC35" s="513">
        <f t="shared" si="10"/>
        <v>103</v>
      </c>
    </row>
    <row r="36" spans="1:29" ht="21.75" customHeight="1">
      <c r="A36" s="607" t="s">
        <v>549</v>
      </c>
      <c r="B36" s="614" t="s">
        <v>550</v>
      </c>
      <c r="C36" s="533">
        <f>+D36+E36</f>
        <v>336</v>
      </c>
      <c r="D36" s="554">
        <v>238</v>
      </c>
      <c r="E36" s="554">
        <v>98</v>
      </c>
      <c r="F36" s="554"/>
      <c r="G36" s="554"/>
      <c r="H36" s="533">
        <f>I36+Q36</f>
        <v>336</v>
      </c>
      <c r="I36" s="533">
        <f>J36+K36+L36+M36+N36+O36+P36</f>
        <v>245</v>
      </c>
      <c r="J36" s="554">
        <v>52</v>
      </c>
      <c r="K36" s="554"/>
      <c r="L36" s="554">
        <v>193</v>
      </c>
      <c r="M36" s="554"/>
      <c r="N36" s="554"/>
      <c r="O36" s="554"/>
      <c r="P36" s="554">
        <v>0</v>
      </c>
      <c r="Q36" s="554">
        <v>91</v>
      </c>
      <c r="R36" s="534">
        <f>+Q36+P36+O36+N36+M36+L36</f>
        <v>284</v>
      </c>
      <c r="S36" s="539">
        <f t="shared" si="1"/>
        <v>21.224489795918366</v>
      </c>
      <c r="T36" s="536">
        <f t="shared" si="4"/>
        <v>0.7291666666666666</v>
      </c>
      <c r="U36" s="537">
        <f t="shared" si="5"/>
        <v>193</v>
      </c>
      <c r="V36" s="475"/>
      <c r="W36" s="504">
        <f t="shared" si="2"/>
        <v>0</v>
      </c>
      <c r="X36" s="505">
        <f t="shared" si="6"/>
        <v>284</v>
      </c>
      <c r="Y36" s="505" t="str">
        <f t="shared" si="7"/>
        <v>Đ</v>
      </c>
      <c r="Z36" s="508">
        <f t="shared" si="8"/>
        <v>193</v>
      </c>
      <c r="AA36" s="508">
        <v>84</v>
      </c>
      <c r="AB36" s="560">
        <f t="shared" si="9"/>
        <v>129.76190476190476</v>
      </c>
      <c r="AC36" s="513">
        <f t="shared" si="10"/>
        <v>109</v>
      </c>
    </row>
    <row r="37" spans="1:29" ht="21.75" customHeight="1">
      <c r="A37" s="606" t="s">
        <v>49</v>
      </c>
      <c r="B37" s="532" t="s">
        <v>486</v>
      </c>
      <c r="C37" s="533">
        <f>C38+C39+C41+C42+C40</f>
        <v>780</v>
      </c>
      <c r="D37" s="533">
        <f aca="true" t="shared" si="22" ref="D37:R37">D38+D39+D41+D42+D40</f>
        <v>664</v>
      </c>
      <c r="E37" s="533">
        <f t="shared" si="22"/>
        <v>116</v>
      </c>
      <c r="F37" s="533">
        <f t="shared" si="22"/>
        <v>0</v>
      </c>
      <c r="G37" s="533">
        <f t="shared" si="22"/>
        <v>0</v>
      </c>
      <c r="H37" s="533">
        <f t="shared" si="22"/>
        <v>780</v>
      </c>
      <c r="I37" s="533">
        <f t="shared" si="22"/>
        <v>379</v>
      </c>
      <c r="J37" s="533">
        <f t="shared" si="22"/>
        <v>65</v>
      </c>
      <c r="K37" s="533">
        <f t="shared" si="22"/>
        <v>0</v>
      </c>
      <c r="L37" s="533">
        <f t="shared" si="22"/>
        <v>313</v>
      </c>
      <c r="M37" s="533">
        <f t="shared" si="22"/>
        <v>1</v>
      </c>
      <c r="N37" s="533">
        <f t="shared" si="22"/>
        <v>0</v>
      </c>
      <c r="O37" s="533">
        <f t="shared" si="22"/>
        <v>0</v>
      </c>
      <c r="P37" s="533">
        <f t="shared" si="22"/>
        <v>0</v>
      </c>
      <c r="Q37" s="533">
        <f t="shared" si="22"/>
        <v>401</v>
      </c>
      <c r="R37" s="533">
        <f t="shared" si="22"/>
        <v>715</v>
      </c>
      <c r="S37" s="539">
        <f t="shared" si="1"/>
        <v>17.150395778364118</v>
      </c>
      <c r="T37" s="536">
        <f t="shared" si="4"/>
        <v>0.4858974358974359</v>
      </c>
      <c r="U37" s="537">
        <f t="shared" si="5"/>
        <v>314</v>
      </c>
      <c r="V37" s="473">
        <f>V38+V39+V41+V42</f>
        <v>0</v>
      </c>
      <c r="W37" s="504">
        <f t="shared" si="2"/>
        <v>0</v>
      </c>
      <c r="X37" s="505">
        <f t="shared" si="6"/>
        <v>715</v>
      </c>
      <c r="Y37" s="505" t="str">
        <f t="shared" si="7"/>
        <v>Đ</v>
      </c>
      <c r="Z37" s="509">
        <f t="shared" si="8"/>
        <v>314</v>
      </c>
      <c r="AA37" s="509" t="e">
        <f>+AA38+AA39+AA41+#REF!</f>
        <v>#REF!</v>
      </c>
      <c r="AB37" s="560" t="e">
        <f t="shared" si="9"/>
        <v>#REF!</v>
      </c>
      <c r="AC37" s="513" t="e">
        <f t="shared" si="10"/>
        <v>#REF!</v>
      </c>
    </row>
    <row r="38" spans="1:29" ht="21.75" customHeight="1">
      <c r="A38" s="607" t="s">
        <v>113</v>
      </c>
      <c r="B38" s="588" t="s">
        <v>499</v>
      </c>
      <c r="C38" s="533">
        <f aca="true" t="shared" si="23" ref="C38:C78">+D38+E38</f>
        <v>9</v>
      </c>
      <c r="D38" s="589"/>
      <c r="E38" s="589">
        <v>9</v>
      </c>
      <c r="F38" s="589"/>
      <c r="G38" s="589"/>
      <c r="H38" s="533">
        <f>I38+Q38</f>
        <v>9</v>
      </c>
      <c r="I38" s="533">
        <f>J38+K38+L38+M38+N38+O38+P38</f>
        <v>9</v>
      </c>
      <c r="J38" s="589">
        <v>5</v>
      </c>
      <c r="K38" s="589"/>
      <c r="L38" s="589">
        <v>4</v>
      </c>
      <c r="M38" s="589"/>
      <c r="N38" s="589"/>
      <c r="O38" s="589"/>
      <c r="P38" s="589"/>
      <c r="Q38" s="589"/>
      <c r="R38" s="534">
        <f>+Q38+P38+O38+N38+M38+L38</f>
        <v>4</v>
      </c>
      <c r="S38" s="539">
        <f t="shared" si="1"/>
        <v>55.55555555555556</v>
      </c>
      <c r="T38" s="536">
        <f t="shared" si="4"/>
        <v>1</v>
      </c>
      <c r="U38" s="537">
        <f t="shared" si="5"/>
        <v>4</v>
      </c>
      <c r="V38" s="475"/>
      <c r="W38" s="504">
        <f t="shared" si="2"/>
        <v>0</v>
      </c>
      <c r="X38" s="505">
        <f t="shared" si="6"/>
        <v>4</v>
      </c>
      <c r="Y38" s="505" t="str">
        <f t="shared" si="7"/>
        <v>Đ</v>
      </c>
      <c r="Z38" s="508">
        <f t="shared" si="8"/>
        <v>4</v>
      </c>
      <c r="AA38" s="508">
        <v>36</v>
      </c>
      <c r="AB38" s="560">
        <f t="shared" si="9"/>
        <v>-88.88888888888889</v>
      </c>
      <c r="AC38" s="513">
        <f t="shared" si="10"/>
        <v>-32</v>
      </c>
    </row>
    <row r="39" spans="1:29" ht="21.75" customHeight="1">
      <c r="A39" s="607" t="s">
        <v>114</v>
      </c>
      <c r="B39" s="437" t="s">
        <v>485</v>
      </c>
      <c r="C39" s="533">
        <f t="shared" si="23"/>
        <v>130</v>
      </c>
      <c r="D39" s="542">
        <v>115</v>
      </c>
      <c r="E39" s="542">
        <v>15</v>
      </c>
      <c r="F39" s="542">
        <v>0</v>
      </c>
      <c r="G39" s="538"/>
      <c r="H39" s="533">
        <f>I39+Q39</f>
        <v>130</v>
      </c>
      <c r="I39" s="533">
        <f>J39+K39+L39+M39+N39+O39+P39</f>
        <v>77</v>
      </c>
      <c r="J39" s="542">
        <v>8</v>
      </c>
      <c r="K39" s="542"/>
      <c r="L39" s="542">
        <v>69</v>
      </c>
      <c r="M39" s="542"/>
      <c r="N39" s="542"/>
      <c r="O39" s="542"/>
      <c r="P39" s="543"/>
      <c r="Q39" s="490">
        <v>53</v>
      </c>
      <c r="R39" s="534">
        <f>+Q39+P39+O39+N39+M39+L39</f>
        <v>122</v>
      </c>
      <c r="S39" s="539">
        <f t="shared" si="1"/>
        <v>10.38961038961039</v>
      </c>
      <c r="T39" s="536">
        <f t="shared" si="4"/>
        <v>0.5923076923076923</v>
      </c>
      <c r="U39" s="537">
        <f t="shared" si="5"/>
        <v>69</v>
      </c>
      <c r="V39" s="475"/>
      <c r="W39" s="504">
        <f t="shared" si="2"/>
        <v>0</v>
      </c>
      <c r="X39" s="505">
        <f t="shared" si="6"/>
        <v>122</v>
      </c>
      <c r="Y39" s="505" t="str">
        <f t="shared" si="7"/>
        <v>Đ</v>
      </c>
      <c r="Z39" s="508">
        <f t="shared" si="8"/>
        <v>69</v>
      </c>
      <c r="AA39" s="508">
        <v>98</v>
      </c>
      <c r="AB39" s="560">
        <f t="shared" si="9"/>
        <v>-29.591836734693878</v>
      </c>
      <c r="AC39" s="513">
        <f t="shared" si="10"/>
        <v>-29</v>
      </c>
    </row>
    <row r="40" spans="1:29" ht="21.75" customHeight="1">
      <c r="A40" s="607" t="s">
        <v>115</v>
      </c>
      <c r="B40" s="437" t="s">
        <v>484</v>
      </c>
      <c r="C40" s="533">
        <f t="shared" si="23"/>
        <v>212</v>
      </c>
      <c r="D40" s="542">
        <v>169</v>
      </c>
      <c r="E40" s="542">
        <v>43</v>
      </c>
      <c r="F40" s="542">
        <v>0</v>
      </c>
      <c r="G40" s="538"/>
      <c r="H40" s="533">
        <f>I40+Q40</f>
        <v>212</v>
      </c>
      <c r="I40" s="533">
        <f>J40+K40+L40+M40+N40+O40+P40</f>
        <v>112</v>
      </c>
      <c r="J40" s="542">
        <v>18</v>
      </c>
      <c r="K40" s="542"/>
      <c r="L40" s="542">
        <v>94</v>
      </c>
      <c r="M40" s="542"/>
      <c r="N40" s="542"/>
      <c r="O40" s="542"/>
      <c r="P40" s="543"/>
      <c r="Q40" s="490">
        <v>100</v>
      </c>
      <c r="R40" s="534">
        <f>+Q40+P40+O40+N40+M40+L40</f>
        <v>194</v>
      </c>
      <c r="S40" s="539">
        <f t="shared" si="1"/>
        <v>16.071428571428573</v>
      </c>
      <c r="T40" s="536">
        <f t="shared" si="4"/>
        <v>0.5283018867924528</v>
      </c>
      <c r="U40" s="537">
        <f t="shared" si="5"/>
        <v>94</v>
      </c>
      <c r="V40" s="475"/>
      <c r="W40" s="504">
        <f t="shared" si="2"/>
        <v>0</v>
      </c>
      <c r="X40" s="505">
        <f t="shared" si="6"/>
        <v>194</v>
      </c>
      <c r="Y40" s="505" t="str">
        <f t="shared" si="7"/>
        <v>Đ</v>
      </c>
      <c r="Z40" s="508"/>
      <c r="AA40" s="508"/>
      <c r="AB40" s="560"/>
      <c r="AC40" s="513"/>
    </row>
    <row r="41" spans="1:29" ht="21.75" customHeight="1">
      <c r="A41" s="607" t="s">
        <v>483</v>
      </c>
      <c r="B41" s="437" t="s">
        <v>560</v>
      </c>
      <c r="C41" s="533">
        <f t="shared" si="23"/>
        <v>185</v>
      </c>
      <c r="D41" s="542">
        <v>156</v>
      </c>
      <c r="E41" s="542">
        <v>29</v>
      </c>
      <c r="F41" s="542"/>
      <c r="G41" s="538"/>
      <c r="H41" s="533">
        <f>I41+Q41</f>
        <v>185</v>
      </c>
      <c r="I41" s="533">
        <f>J41+K41+L41+M41+N41+O41+P41</f>
        <v>99</v>
      </c>
      <c r="J41" s="542">
        <v>19</v>
      </c>
      <c r="K41" s="542"/>
      <c r="L41" s="542">
        <v>80</v>
      </c>
      <c r="M41" s="542"/>
      <c r="N41" s="542"/>
      <c r="O41" s="542"/>
      <c r="P41" s="543"/>
      <c r="Q41" s="490">
        <v>86</v>
      </c>
      <c r="R41" s="534">
        <f>+Q41+P41+O41+N41+M41+L41</f>
        <v>166</v>
      </c>
      <c r="S41" s="539">
        <f t="shared" si="1"/>
        <v>19.19191919191919</v>
      </c>
      <c r="T41" s="536">
        <f t="shared" si="4"/>
        <v>0.5351351351351351</v>
      </c>
      <c r="U41" s="537">
        <f t="shared" si="5"/>
        <v>80</v>
      </c>
      <c r="V41" s="475"/>
      <c r="W41" s="504">
        <f t="shared" si="2"/>
        <v>0</v>
      </c>
      <c r="X41" s="505">
        <f t="shared" si="6"/>
        <v>166</v>
      </c>
      <c r="Y41" s="505" t="str">
        <f t="shared" si="7"/>
        <v>Đ</v>
      </c>
      <c r="Z41" s="508">
        <f t="shared" si="8"/>
        <v>80</v>
      </c>
      <c r="AA41" s="508">
        <v>89</v>
      </c>
      <c r="AB41" s="560">
        <f t="shared" si="9"/>
        <v>-10.112359550561797</v>
      </c>
      <c r="AC41" s="513">
        <f t="shared" si="10"/>
        <v>-9</v>
      </c>
    </row>
    <row r="42" spans="1:29" ht="21.75" customHeight="1">
      <c r="A42" s="607" t="s">
        <v>580</v>
      </c>
      <c r="B42" s="437" t="s">
        <v>561</v>
      </c>
      <c r="C42" s="533">
        <f t="shared" si="23"/>
        <v>244</v>
      </c>
      <c r="D42" s="542">
        <v>224</v>
      </c>
      <c r="E42" s="542">
        <v>20</v>
      </c>
      <c r="F42" s="542">
        <v>0</v>
      </c>
      <c r="G42" s="538"/>
      <c r="H42" s="533">
        <f>I42+Q42</f>
        <v>244</v>
      </c>
      <c r="I42" s="533">
        <f>J42+K42+L42+M42+N42+O42+P42</f>
        <v>82</v>
      </c>
      <c r="J42" s="542">
        <v>15</v>
      </c>
      <c r="K42" s="542"/>
      <c r="L42" s="542">
        <v>66</v>
      </c>
      <c r="M42" s="542">
        <v>1</v>
      </c>
      <c r="N42" s="542"/>
      <c r="O42" s="542"/>
      <c r="P42" s="543"/>
      <c r="Q42" s="490">
        <v>162</v>
      </c>
      <c r="R42" s="534">
        <f>+Q42+P42+O42+N42+M42+L42</f>
        <v>229</v>
      </c>
      <c r="S42" s="539">
        <f t="shared" si="1"/>
        <v>18.29268292682927</v>
      </c>
      <c r="T42" s="536">
        <f t="shared" si="4"/>
        <v>0.3360655737704918</v>
      </c>
      <c r="U42" s="537">
        <f t="shared" si="5"/>
        <v>67</v>
      </c>
      <c r="V42" s="475"/>
      <c r="W42" s="504">
        <f t="shared" si="2"/>
        <v>0</v>
      </c>
      <c r="X42" s="505">
        <f t="shared" si="6"/>
        <v>229</v>
      </c>
      <c r="Y42" s="505" t="str">
        <f t="shared" si="7"/>
        <v>Đ</v>
      </c>
      <c r="Z42" s="508">
        <f t="shared" si="8"/>
        <v>67</v>
      </c>
      <c r="AA42" s="508"/>
      <c r="AB42" s="560" t="e">
        <f t="shared" si="9"/>
        <v>#DIV/0!</v>
      </c>
      <c r="AC42" s="513">
        <f t="shared" si="10"/>
        <v>67</v>
      </c>
    </row>
    <row r="43" spans="1:29" ht="21.75" customHeight="1">
      <c r="A43" s="606" t="s">
        <v>58</v>
      </c>
      <c r="B43" s="532" t="s">
        <v>482</v>
      </c>
      <c r="C43" s="533">
        <f>+D43+E43</f>
        <v>703</v>
      </c>
      <c r="D43" s="533">
        <f>SUM(D44:D47)</f>
        <v>520</v>
      </c>
      <c r="E43" s="533">
        <f>SUM(E44:E47)</f>
        <v>183</v>
      </c>
      <c r="F43" s="533">
        <f>SUM(F44:F47)</f>
        <v>0</v>
      </c>
      <c r="G43" s="533">
        <f>SUM(G44:G47)</f>
        <v>0</v>
      </c>
      <c r="H43" s="533">
        <f aca="true" t="shared" si="24" ref="H43:H71">SUM(I43,Q43)</f>
        <v>703</v>
      </c>
      <c r="I43" s="533">
        <f aca="true" t="shared" si="25" ref="I43:I71">SUM(J43:P43)</f>
        <v>460</v>
      </c>
      <c r="J43" s="533">
        <f aca="true" t="shared" si="26" ref="J43:Q43">SUM(J44:J47)</f>
        <v>107</v>
      </c>
      <c r="K43" s="533">
        <f t="shared" si="26"/>
        <v>2</v>
      </c>
      <c r="L43" s="533">
        <f t="shared" si="26"/>
        <v>351</v>
      </c>
      <c r="M43" s="533">
        <f t="shared" si="26"/>
        <v>0</v>
      </c>
      <c r="N43" s="533">
        <f t="shared" si="26"/>
        <v>0</v>
      </c>
      <c r="O43" s="533">
        <f t="shared" si="26"/>
        <v>0</v>
      </c>
      <c r="P43" s="533">
        <f t="shared" si="26"/>
        <v>0</v>
      </c>
      <c r="Q43" s="533">
        <f t="shared" si="26"/>
        <v>243</v>
      </c>
      <c r="R43" s="534">
        <f aca="true" t="shared" si="27" ref="R43:R78">SUM(L43:Q43)</f>
        <v>594</v>
      </c>
      <c r="S43" s="535">
        <f t="shared" si="1"/>
        <v>23.695652173913043</v>
      </c>
      <c r="T43" s="536">
        <f t="shared" si="4"/>
        <v>0.6543385490753911</v>
      </c>
      <c r="U43" s="537">
        <f t="shared" si="5"/>
        <v>351</v>
      </c>
      <c r="V43" s="473">
        <f>V44+V46+V47</f>
        <v>0</v>
      </c>
      <c r="W43" s="504">
        <f t="shared" si="2"/>
        <v>0</v>
      </c>
      <c r="X43" s="505">
        <f t="shared" si="6"/>
        <v>594</v>
      </c>
      <c r="Y43" s="505" t="str">
        <f t="shared" si="7"/>
        <v>Đ</v>
      </c>
      <c r="Z43" s="509">
        <f t="shared" si="8"/>
        <v>351</v>
      </c>
      <c r="AA43" s="509" t="e">
        <f>+#REF!+AA46+AA47</f>
        <v>#REF!</v>
      </c>
      <c r="AB43" s="560" t="e">
        <f t="shared" si="9"/>
        <v>#REF!</v>
      </c>
      <c r="AC43" s="513" t="e">
        <f t="shared" si="10"/>
        <v>#REF!</v>
      </c>
    </row>
    <row r="44" spans="1:29" ht="21.75" customHeight="1">
      <c r="A44" s="607" t="s">
        <v>45</v>
      </c>
      <c r="B44" s="608" t="s">
        <v>469</v>
      </c>
      <c r="C44" s="533">
        <f t="shared" si="23"/>
        <v>190</v>
      </c>
      <c r="D44" s="568">
        <v>134</v>
      </c>
      <c r="E44" s="529">
        <v>56</v>
      </c>
      <c r="F44" s="529"/>
      <c r="G44" s="529"/>
      <c r="H44" s="533">
        <f>+I44+Q44</f>
        <v>190</v>
      </c>
      <c r="I44" s="533">
        <f>+J44+K44+L44+M44+N44+O44+P44</f>
        <v>128</v>
      </c>
      <c r="J44" s="529">
        <v>28</v>
      </c>
      <c r="K44" s="529"/>
      <c r="L44" s="529">
        <v>100</v>
      </c>
      <c r="M44" s="529">
        <v>0</v>
      </c>
      <c r="N44" s="529">
        <v>0</v>
      </c>
      <c r="O44" s="529">
        <v>0</v>
      </c>
      <c r="P44" s="530">
        <v>0</v>
      </c>
      <c r="Q44" s="531">
        <v>62</v>
      </c>
      <c r="R44" s="534">
        <f t="shared" si="27"/>
        <v>162</v>
      </c>
      <c r="S44" s="539">
        <f aca="true" t="shared" si="28" ref="S44:S78">(((J44+K44))/I44)*100</f>
        <v>21.875</v>
      </c>
      <c r="T44" s="536">
        <f t="shared" si="4"/>
        <v>0.6736842105263158</v>
      </c>
      <c r="U44" s="537">
        <f t="shared" si="5"/>
        <v>100</v>
      </c>
      <c r="V44" s="513"/>
      <c r="W44" s="504">
        <f t="shared" si="2"/>
        <v>0</v>
      </c>
      <c r="X44" s="505">
        <f t="shared" si="6"/>
        <v>162</v>
      </c>
      <c r="Y44" s="505" t="str">
        <f t="shared" si="7"/>
        <v>Đ</v>
      </c>
      <c r="Z44" s="508"/>
      <c r="AA44" s="508"/>
      <c r="AB44" s="560"/>
      <c r="AC44" s="513"/>
    </row>
    <row r="45" spans="1:29" ht="21.75" customHeight="1">
      <c r="A45" s="607" t="s">
        <v>46</v>
      </c>
      <c r="B45" s="608" t="s">
        <v>481</v>
      </c>
      <c r="C45" s="533">
        <f t="shared" si="23"/>
        <v>158</v>
      </c>
      <c r="D45" s="568">
        <v>115</v>
      </c>
      <c r="E45" s="529">
        <v>43</v>
      </c>
      <c r="F45" s="529"/>
      <c r="G45" s="529"/>
      <c r="H45" s="533">
        <f>+I45+Q45</f>
        <v>158</v>
      </c>
      <c r="I45" s="533">
        <f>+J45+K45+L45+M45+N45+O45+P45</f>
        <v>78</v>
      </c>
      <c r="J45" s="529">
        <v>27</v>
      </c>
      <c r="K45" s="529">
        <v>2</v>
      </c>
      <c r="L45" s="529">
        <v>49</v>
      </c>
      <c r="M45" s="529">
        <v>0</v>
      </c>
      <c r="N45" s="529">
        <v>0</v>
      </c>
      <c r="O45" s="529">
        <v>0</v>
      </c>
      <c r="P45" s="530">
        <v>0</v>
      </c>
      <c r="Q45" s="531">
        <v>80</v>
      </c>
      <c r="R45" s="534">
        <f t="shared" si="27"/>
        <v>129</v>
      </c>
      <c r="S45" s="539">
        <f t="shared" si="28"/>
        <v>37.17948717948718</v>
      </c>
      <c r="T45" s="536">
        <f t="shared" si="4"/>
        <v>0.4936708860759494</v>
      </c>
      <c r="U45" s="537"/>
      <c r="V45" s="513"/>
      <c r="W45" s="504">
        <f t="shared" si="2"/>
        <v>0</v>
      </c>
      <c r="X45" s="505">
        <f t="shared" si="6"/>
        <v>129</v>
      </c>
      <c r="Y45" s="505" t="str">
        <f t="shared" si="7"/>
        <v>Đ</v>
      </c>
      <c r="Z45" s="508"/>
      <c r="AA45" s="508"/>
      <c r="AB45" s="560"/>
      <c r="AC45" s="513"/>
    </row>
    <row r="46" spans="1:29" ht="21.75" customHeight="1">
      <c r="A46" s="607" t="s">
        <v>104</v>
      </c>
      <c r="B46" s="608" t="s">
        <v>582</v>
      </c>
      <c r="C46" s="533">
        <f t="shared" si="23"/>
        <v>147</v>
      </c>
      <c r="D46" s="568">
        <v>108</v>
      </c>
      <c r="E46" s="529">
        <v>39</v>
      </c>
      <c r="F46" s="568"/>
      <c r="G46" s="529"/>
      <c r="H46" s="533">
        <f>+I46+Q46</f>
        <v>147</v>
      </c>
      <c r="I46" s="533">
        <f>+J46+K46+L46+M46+N46+O46+P46</f>
        <v>100</v>
      </c>
      <c r="J46" s="529">
        <v>26</v>
      </c>
      <c r="K46" s="529"/>
      <c r="L46" s="529">
        <v>74</v>
      </c>
      <c r="M46" s="529"/>
      <c r="N46" s="529"/>
      <c r="O46" s="529"/>
      <c r="P46" s="530"/>
      <c r="Q46" s="531">
        <v>47</v>
      </c>
      <c r="R46" s="534">
        <f t="shared" si="27"/>
        <v>121</v>
      </c>
      <c r="S46" s="539">
        <f t="shared" si="28"/>
        <v>26</v>
      </c>
      <c r="T46" s="536">
        <f t="shared" si="4"/>
        <v>0.6802721088435374</v>
      </c>
      <c r="U46" s="537">
        <f t="shared" si="5"/>
        <v>74</v>
      </c>
      <c r="V46" s="513"/>
      <c r="W46" s="504">
        <f t="shared" si="2"/>
        <v>0</v>
      </c>
      <c r="X46" s="505">
        <f t="shared" si="6"/>
        <v>121</v>
      </c>
      <c r="Y46" s="505" t="str">
        <f t="shared" si="7"/>
        <v>Đ</v>
      </c>
      <c r="Z46" s="508">
        <f t="shared" si="8"/>
        <v>74</v>
      </c>
      <c r="AA46" s="508">
        <v>63</v>
      </c>
      <c r="AB46" s="560">
        <f t="shared" si="9"/>
        <v>17.46031746031746</v>
      </c>
      <c r="AC46" s="513">
        <f t="shared" si="10"/>
        <v>11</v>
      </c>
    </row>
    <row r="47" spans="1:29" ht="21.75" customHeight="1">
      <c r="A47" s="607" t="s">
        <v>106</v>
      </c>
      <c r="B47" s="608" t="s">
        <v>547</v>
      </c>
      <c r="C47" s="533">
        <f t="shared" si="23"/>
        <v>208</v>
      </c>
      <c r="D47" s="568">
        <v>163</v>
      </c>
      <c r="E47" s="529">
        <v>45</v>
      </c>
      <c r="F47" s="568"/>
      <c r="G47" s="529"/>
      <c r="H47" s="533">
        <f>+I47+Q47</f>
        <v>208</v>
      </c>
      <c r="I47" s="533">
        <f>+J47+K47+L47+M47+N47+O47+P47</f>
        <v>154</v>
      </c>
      <c r="J47" s="529">
        <v>26</v>
      </c>
      <c r="K47" s="529"/>
      <c r="L47" s="529">
        <v>128</v>
      </c>
      <c r="M47" s="529">
        <v>0</v>
      </c>
      <c r="N47" s="529">
        <v>0</v>
      </c>
      <c r="O47" s="529">
        <v>0</v>
      </c>
      <c r="P47" s="530">
        <v>0</v>
      </c>
      <c r="Q47" s="531">
        <v>54</v>
      </c>
      <c r="R47" s="534">
        <f t="shared" si="27"/>
        <v>182</v>
      </c>
      <c r="S47" s="539">
        <f t="shared" si="28"/>
        <v>16.883116883116884</v>
      </c>
      <c r="T47" s="536">
        <f t="shared" si="4"/>
        <v>0.7403846153846154</v>
      </c>
      <c r="U47" s="537">
        <f t="shared" si="5"/>
        <v>128</v>
      </c>
      <c r="V47" s="513"/>
      <c r="W47" s="504">
        <f t="shared" si="2"/>
        <v>0</v>
      </c>
      <c r="X47" s="505">
        <f t="shared" si="6"/>
        <v>182</v>
      </c>
      <c r="Y47" s="505" t="str">
        <f t="shared" si="7"/>
        <v>Đ</v>
      </c>
      <c r="Z47" s="508">
        <f t="shared" si="8"/>
        <v>128</v>
      </c>
      <c r="AA47" s="508">
        <v>40</v>
      </c>
      <c r="AB47" s="560">
        <f t="shared" si="9"/>
        <v>220.00000000000003</v>
      </c>
      <c r="AC47" s="513">
        <f t="shared" si="10"/>
        <v>88</v>
      </c>
    </row>
    <row r="48" spans="1:29" ht="21.75" customHeight="1">
      <c r="A48" s="606" t="s">
        <v>59</v>
      </c>
      <c r="B48" s="532" t="s">
        <v>480</v>
      </c>
      <c r="C48" s="533">
        <f t="shared" si="23"/>
        <v>793</v>
      </c>
      <c r="D48" s="533">
        <f aca="true" t="shared" si="29" ref="D48:R48">SUM(D49:D53)</f>
        <v>537</v>
      </c>
      <c r="E48" s="533">
        <f t="shared" si="29"/>
        <v>256</v>
      </c>
      <c r="F48" s="533">
        <f t="shared" si="29"/>
        <v>1</v>
      </c>
      <c r="G48" s="533">
        <f t="shared" si="29"/>
        <v>0</v>
      </c>
      <c r="H48" s="533">
        <f t="shared" si="29"/>
        <v>792</v>
      </c>
      <c r="I48" s="533">
        <f t="shared" si="29"/>
        <v>486</v>
      </c>
      <c r="J48" s="533">
        <f t="shared" si="29"/>
        <v>112</v>
      </c>
      <c r="K48" s="533">
        <f t="shared" si="29"/>
        <v>5</v>
      </c>
      <c r="L48" s="533">
        <f t="shared" si="29"/>
        <v>366</v>
      </c>
      <c r="M48" s="533">
        <f t="shared" si="29"/>
        <v>3</v>
      </c>
      <c r="N48" s="533">
        <f t="shared" si="29"/>
        <v>0</v>
      </c>
      <c r="O48" s="533">
        <f t="shared" si="29"/>
        <v>0</v>
      </c>
      <c r="P48" s="533">
        <f t="shared" si="29"/>
        <v>0</v>
      </c>
      <c r="Q48" s="533">
        <f t="shared" si="29"/>
        <v>306</v>
      </c>
      <c r="R48" s="533">
        <f t="shared" si="29"/>
        <v>675</v>
      </c>
      <c r="S48" s="535">
        <f t="shared" si="28"/>
        <v>24.074074074074073</v>
      </c>
      <c r="T48" s="536">
        <f t="shared" si="4"/>
        <v>0.6136363636363636</v>
      </c>
      <c r="U48" s="537">
        <f t="shared" si="5"/>
        <v>369</v>
      </c>
      <c r="V48" s="557">
        <f>+V49+V50+V51+V52+V53</f>
        <v>0</v>
      </c>
      <c r="W48" s="504">
        <f>+C48-(F48+G48+H48)</f>
        <v>0</v>
      </c>
      <c r="X48" s="505">
        <f t="shared" si="6"/>
        <v>675</v>
      </c>
      <c r="Y48" s="505" t="str">
        <f t="shared" si="7"/>
        <v>Đ</v>
      </c>
      <c r="Z48" s="509">
        <f t="shared" si="8"/>
        <v>369</v>
      </c>
      <c r="AA48" s="509">
        <v>210</v>
      </c>
      <c r="AB48" s="560">
        <f t="shared" si="9"/>
        <v>75.71428571428571</v>
      </c>
      <c r="AC48" s="513">
        <f t="shared" si="10"/>
        <v>159</v>
      </c>
    </row>
    <row r="49" spans="1:29" ht="21.75" customHeight="1">
      <c r="A49" s="607" t="s">
        <v>116</v>
      </c>
      <c r="B49" s="586" t="s">
        <v>578</v>
      </c>
      <c r="C49" s="533">
        <f t="shared" si="23"/>
        <v>196</v>
      </c>
      <c r="D49" s="587">
        <v>139</v>
      </c>
      <c r="E49" s="611">
        <v>57</v>
      </c>
      <c r="F49" s="611">
        <v>0</v>
      </c>
      <c r="G49" s="611">
        <v>0</v>
      </c>
      <c r="H49" s="533">
        <f>+I49+Q49</f>
        <v>196</v>
      </c>
      <c r="I49" s="533">
        <f>+J49+K49+L49+M49+N49+O49+P49</f>
        <v>103</v>
      </c>
      <c r="J49" s="611">
        <v>21</v>
      </c>
      <c r="K49" s="611">
        <v>3</v>
      </c>
      <c r="L49" s="611">
        <v>79</v>
      </c>
      <c r="M49" s="611">
        <v>0</v>
      </c>
      <c r="N49" s="611">
        <v>0</v>
      </c>
      <c r="O49" s="611">
        <v>0</v>
      </c>
      <c r="P49" s="611">
        <v>0</v>
      </c>
      <c r="Q49" s="611">
        <v>93</v>
      </c>
      <c r="R49" s="534">
        <f t="shared" si="27"/>
        <v>172</v>
      </c>
      <c r="S49" s="539">
        <f t="shared" si="28"/>
        <v>23.300970873786408</v>
      </c>
      <c r="T49" s="536">
        <f t="shared" si="4"/>
        <v>0.5255102040816326</v>
      </c>
      <c r="U49" s="537">
        <f t="shared" si="5"/>
        <v>79</v>
      </c>
      <c r="V49" s="556"/>
      <c r="W49" s="504">
        <f aca="true" t="shared" si="30" ref="W49:W78">+C49-(F49+G49+H49)</f>
        <v>0</v>
      </c>
      <c r="X49" s="505">
        <f t="shared" si="6"/>
        <v>172</v>
      </c>
      <c r="Y49" s="505" t="str">
        <f t="shared" si="7"/>
        <v>Đ</v>
      </c>
      <c r="Z49" s="508">
        <f t="shared" si="8"/>
        <v>79</v>
      </c>
      <c r="AA49" s="508">
        <v>14</v>
      </c>
      <c r="AB49" s="560">
        <f t="shared" si="9"/>
        <v>464.28571428571433</v>
      </c>
      <c r="AC49" s="513">
        <f t="shared" si="10"/>
        <v>65</v>
      </c>
    </row>
    <row r="50" spans="1:29" ht="21.75" customHeight="1">
      <c r="A50" s="607" t="s">
        <v>117</v>
      </c>
      <c r="B50" s="586" t="s">
        <v>479</v>
      </c>
      <c r="C50" s="533">
        <f t="shared" si="23"/>
        <v>99</v>
      </c>
      <c r="D50" s="587">
        <v>62</v>
      </c>
      <c r="E50" s="611">
        <v>37</v>
      </c>
      <c r="F50" s="611">
        <v>0</v>
      </c>
      <c r="G50" s="611">
        <v>0</v>
      </c>
      <c r="H50" s="533">
        <f>+I50+Q50</f>
        <v>99</v>
      </c>
      <c r="I50" s="533">
        <f>+J50+K50+L50+M50+N50+O50+P50</f>
        <v>61</v>
      </c>
      <c r="J50" s="611">
        <v>22</v>
      </c>
      <c r="K50" s="611">
        <v>0</v>
      </c>
      <c r="L50" s="611">
        <v>39</v>
      </c>
      <c r="M50" s="611">
        <v>0</v>
      </c>
      <c r="N50" s="611">
        <v>0</v>
      </c>
      <c r="O50" s="611">
        <v>0</v>
      </c>
      <c r="P50" s="611">
        <v>0</v>
      </c>
      <c r="Q50" s="611">
        <v>38</v>
      </c>
      <c r="R50" s="534">
        <f t="shared" si="27"/>
        <v>77</v>
      </c>
      <c r="S50" s="539">
        <f t="shared" si="28"/>
        <v>36.0655737704918</v>
      </c>
      <c r="T50" s="536">
        <f t="shared" si="4"/>
        <v>0.6161616161616161</v>
      </c>
      <c r="U50" s="537">
        <f t="shared" si="5"/>
        <v>39</v>
      </c>
      <c r="V50" s="556"/>
      <c r="W50" s="504">
        <f t="shared" si="30"/>
        <v>0</v>
      </c>
      <c r="X50" s="505">
        <f t="shared" si="6"/>
        <v>77</v>
      </c>
      <c r="Y50" s="505" t="str">
        <f t="shared" si="7"/>
        <v>Đ</v>
      </c>
      <c r="Z50" s="509">
        <f t="shared" si="8"/>
        <v>39</v>
      </c>
      <c r="AA50" s="509">
        <v>65</v>
      </c>
      <c r="AB50" s="560">
        <f t="shared" si="9"/>
        <v>-40</v>
      </c>
      <c r="AC50" s="513">
        <f t="shared" si="10"/>
        <v>-26</v>
      </c>
    </row>
    <row r="51" spans="1:29" ht="21.75" customHeight="1">
      <c r="A51" s="607" t="s">
        <v>118</v>
      </c>
      <c r="B51" s="586" t="s">
        <v>489</v>
      </c>
      <c r="C51" s="533">
        <f t="shared" si="23"/>
        <v>117</v>
      </c>
      <c r="D51" s="587">
        <v>79</v>
      </c>
      <c r="E51" s="611">
        <v>38</v>
      </c>
      <c r="F51" s="611">
        <v>0</v>
      </c>
      <c r="G51" s="611">
        <v>0</v>
      </c>
      <c r="H51" s="533">
        <f>+I51+Q51</f>
        <v>117</v>
      </c>
      <c r="I51" s="533">
        <f>+J51+K51+L51+M51+N51+O51+P51</f>
        <v>78</v>
      </c>
      <c r="J51" s="611">
        <v>28</v>
      </c>
      <c r="K51" s="611">
        <v>2</v>
      </c>
      <c r="L51" s="611">
        <v>48</v>
      </c>
      <c r="M51" s="611">
        <v>0</v>
      </c>
      <c r="N51" s="611">
        <v>0</v>
      </c>
      <c r="O51" s="611">
        <v>0</v>
      </c>
      <c r="P51" s="611">
        <v>0</v>
      </c>
      <c r="Q51" s="611">
        <v>39</v>
      </c>
      <c r="R51" s="534">
        <f t="shared" si="27"/>
        <v>87</v>
      </c>
      <c r="S51" s="539">
        <f t="shared" si="28"/>
        <v>38.46153846153847</v>
      </c>
      <c r="T51" s="536">
        <f t="shared" si="4"/>
        <v>0.6666666666666666</v>
      </c>
      <c r="U51" s="537">
        <f t="shared" si="5"/>
        <v>48</v>
      </c>
      <c r="V51" s="556"/>
      <c r="W51" s="504">
        <f t="shared" si="30"/>
        <v>0</v>
      </c>
      <c r="X51" s="505">
        <f t="shared" si="6"/>
        <v>87</v>
      </c>
      <c r="Y51" s="505" t="str">
        <f t="shared" si="7"/>
        <v>Đ</v>
      </c>
      <c r="Z51" s="508">
        <f t="shared" si="8"/>
        <v>48</v>
      </c>
      <c r="AA51" s="508">
        <v>36</v>
      </c>
      <c r="AB51" s="560">
        <f t="shared" si="9"/>
        <v>33.33333333333333</v>
      </c>
      <c r="AC51" s="513">
        <f t="shared" si="10"/>
        <v>12</v>
      </c>
    </row>
    <row r="52" spans="1:29" ht="21.75" customHeight="1">
      <c r="A52" s="607" t="s">
        <v>478</v>
      </c>
      <c r="B52" s="586" t="s">
        <v>579</v>
      </c>
      <c r="C52" s="533">
        <f t="shared" si="23"/>
        <v>254</v>
      </c>
      <c r="D52" s="587">
        <v>176</v>
      </c>
      <c r="E52" s="611">
        <v>78</v>
      </c>
      <c r="F52" s="611">
        <v>0</v>
      </c>
      <c r="G52" s="611">
        <v>0</v>
      </c>
      <c r="H52" s="533">
        <f>+I52+Q52</f>
        <v>254</v>
      </c>
      <c r="I52" s="533">
        <f>+J52+K52+L52+M52+N52+O52+P52</f>
        <v>152</v>
      </c>
      <c r="J52" s="611">
        <v>16</v>
      </c>
      <c r="K52" s="611">
        <v>0</v>
      </c>
      <c r="L52" s="611">
        <v>134</v>
      </c>
      <c r="M52" s="611">
        <v>2</v>
      </c>
      <c r="N52" s="611">
        <v>0</v>
      </c>
      <c r="O52" s="611">
        <v>0</v>
      </c>
      <c r="P52" s="611">
        <v>0</v>
      </c>
      <c r="Q52" s="611">
        <v>102</v>
      </c>
      <c r="R52" s="534">
        <f t="shared" si="27"/>
        <v>238</v>
      </c>
      <c r="S52" s="539">
        <f t="shared" si="28"/>
        <v>10.526315789473683</v>
      </c>
      <c r="T52" s="536">
        <f t="shared" si="4"/>
        <v>0.5984251968503937</v>
      </c>
      <c r="U52" s="537">
        <f t="shared" si="5"/>
        <v>136</v>
      </c>
      <c r="V52" s="556"/>
      <c r="W52" s="504">
        <f t="shared" si="30"/>
        <v>0</v>
      </c>
      <c r="X52" s="505">
        <f t="shared" si="6"/>
        <v>238</v>
      </c>
      <c r="Y52" s="505" t="str">
        <f t="shared" si="7"/>
        <v>Đ</v>
      </c>
      <c r="Z52" s="508">
        <f t="shared" si="8"/>
        <v>136</v>
      </c>
      <c r="AA52" s="508"/>
      <c r="AB52" s="560" t="e">
        <f t="shared" si="9"/>
        <v>#DIV/0!</v>
      </c>
      <c r="AC52" s="513">
        <f t="shared" si="10"/>
        <v>136</v>
      </c>
    </row>
    <row r="53" spans="1:29" ht="21.75" customHeight="1">
      <c r="A53" s="607" t="s">
        <v>536</v>
      </c>
      <c r="B53" s="586" t="s">
        <v>477</v>
      </c>
      <c r="C53" s="533">
        <f t="shared" si="23"/>
        <v>127</v>
      </c>
      <c r="D53" s="587">
        <v>81</v>
      </c>
      <c r="E53" s="611">
        <v>46</v>
      </c>
      <c r="F53" s="611">
        <v>1</v>
      </c>
      <c r="G53" s="611">
        <v>0</v>
      </c>
      <c r="H53" s="533">
        <f>+I53+Q53</f>
        <v>126</v>
      </c>
      <c r="I53" s="533">
        <f>+J53+K53+L53+M53+N53+O53+P53</f>
        <v>92</v>
      </c>
      <c r="J53" s="611">
        <v>25</v>
      </c>
      <c r="K53" s="611">
        <v>0</v>
      </c>
      <c r="L53" s="611">
        <v>66</v>
      </c>
      <c r="M53" s="611">
        <v>1</v>
      </c>
      <c r="N53" s="611">
        <v>0</v>
      </c>
      <c r="O53" s="611">
        <v>0</v>
      </c>
      <c r="P53" s="611">
        <v>0</v>
      </c>
      <c r="Q53" s="611">
        <v>34</v>
      </c>
      <c r="R53" s="534">
        <f t="shared" si="27"/>
        <v>101</v>
      </c>
      <c r="S53" s="539">
        <f t="shared" si="28"/>
        <v>27.173913043478258</v>
      </c>
      <c r="T53" s="536">
        <f t="shared" si="4"/>
        <v>0.7301587301587301</v>
      </c>
      <c r="U53" s="537">
        <f t="shared" si="5"/>
        <v>67</v>
      </c>
      <c r="V53" s="556"/>
      <c r="W53" s="504">
        <f t="shared" si="30"/>
        <v>0</v>
      </c>
      <c r="X53" s="505">
        <f t="shared" si="6"/>
        <v>101</v>
      </c>
      <c r="Y53" s="505" t="str">
        <f t="shared" si="7"/>
        <v>Đ</v>
      </c>
      <c r="Z53" s="508">
        <f t="shared" si="8"/>
        <v>67</v>
      </c>
      <c r="AA53" s="508">
        <v>30</v>
      </c>
      <c r="AB53" s="560">
        <f t="shared" si="9"/>
        <v>123.33333333333334</v>
      </c>
      <c r="AC53" s="513">
        <f t="shared" si="10"/>
        <v>37</v>
      </c>
    </row>
    <row r="54" spans="1:29" ht="21.75" customHeight="1">
      <c r="A54" s="606" t="s">
        <v>60</v>
      </c>
      <c r="B54" s="532" t="s">
        <v>476</v>
      </c>
      <c r="C54" s="533">
        <f>+C55+C56+C57+C58+C59+C60</f>
        <v>1459</v>
      </c>
      <c r="D54" s="533">
        <f aca="true" t="shared" si="31" ref="D54:R54">+D55+D56+D57+D58+D59+D60</f>
        <v>1228</v>
      </c>
      <c r="E54" s="533">
        <f t="shared" si="31"/>
        <v>231</v>
      </c>
      <c r="F54" s="533">
        <f t="shared" si="31"/>
        <v>0</v>
      </c>
      <c r="G54" s="533">
        <f t="shared" si="31"/>
        <v>0</v>
      </c>
      <c r="H54" s="533">
        <f t="shared" si="31"/>
        <v>1459</v>
      </c>
      <c r="I54" s="533">
        <f t="shared" si="31"/>
        <v>1013</v>
      </c>
      <c r="J54" s="533">
        <f t="shared" si="31"/>
        <v>143</v>
      </c>
      <c r="K54" s="533">
        <f t="shared" si="31"/>
        <v>1</v>
      </c>
      <c r="L54" s="533">
        <f t="shared" si="31"/>
        <v>869</v>
      </c>
      <c r="M54" s="533">
        <f t="shared" si="31"/>
        <v>0</v>
      </c>
      <c r="N54" s="533">
        <f t="shared" si="31"/>
        <v>0</v>
      </c>
      <c r="O54" s="533">
        <f t="shared" si="31"/>
        <v>0</v>
      </c>
      <c r="P54" s="533">
        <f t="shared" si="31"/>
        <v>0</v>
      </c>
      <c r="Q54" s="533">
        <f t="shared" si="31"/>
        <v>446</v>
      </c>
      <c r="R54" s="533">
        <f t="shared" si="31"/>
        <v>1315</v>
      </c>
      <c r="S54" s="539">
        <f t="shared" si="28"/>
        <v>14.215202369200394</v>
      </c>
      <c r="T54" s="536">
        <f t="shared" si="4"/>
        <v>0.6943111720356409</v>
      </c>
      <c r="U54" s="537">
        <f t="shared" si="5"/>
        <v>869</v>
      </c>
      <c r="V54" s="473">
        <f>+V55+V56+V57+V58+V59+V60</f>
        <v>0</v>
      </c>
      <c r="W54" s="504">
        <f t="shared" si="30"/>
        <v>0</v>
      </c>
      <c r="X54" s="505">
        <f t="shared" si="6"/>
        <v>1315</v>
      </c>
      <c r="Y54" s="505" t="str">
        <f t="shared" si="7"/>
        <v>Đ</v>
      </c>
      <c r="Z54" s="509">
        <f t="shared" si="8"/>
        <v>869</v>
      </c>
      <c r="AA54" s="509">
        <v>384</v>
      </c>
      <c r="AB54" s="560">
        <f t="shared" si="9"/>
        <v>126.30208333333333</v>
      </c>
      <c r="AC54" s="513">
        <f t="shared" si="10"/>
        <v>485</v>
      </c>
    </row>
    <row r="55" spans="1:29" ht="21.75" customHeight="1">
      <c r="A55" s="607" t="s">
        <v>475</v>
      </c>
      <c r="B55" s="437" t="s">
        <v>498</v>
      </c>
      <c r="C55" s="533">
        <f t="shared" si="23"/>
        <v>225</v>
      </c>
      <c r="D55" s="542">
        <v>203</v>
      </c>
      <c r="E55" s="542">
        <v>22</v>
      </c>
      <c r="F55" s="542">
        <v>0</v>
      </c>
      <c r="G55" s="538"/>
      <c r="H55" s="533">
        <f t="shared" si="24"/>
        <v>225</v>
      </c>
      <c r="I55" s="533">
        <f t="shared" si="25"/>
        <v>147</v>
      </c>
      <c r="J55" s="542">
        <v>12</v>
      </c>
      <c r="K55" s="542">
        <v>1</v>
      </c>
      <c r="L55" s="542">
        <v>134</v>
      </c>
      <c r="M55" s="542"/>
      <c r="N55" s="542"/>
      <c r="O55" s="542"/>
      <c r="P55" s="543"/>
      <c r="Q55" s="546">
        <v>78</v>
      </c>
      <c r="R55" s="534">
        <f t="shared" si="27"/>
        <v>212</v>
      </c>
      <c r="S55" s="539">
        <f t="shared" si="28"/>
        <v>8.843537414965986</v>
      </c>
      <c r="T55" s="536">
        <f t="shared" si="4"/>
        <v>0.6533333333333333</v>
      </c>
      <c r="U55" s="537">
        <f t="shared" si="5"/>
        <v>134</v>
      </c>
      <c r="V55" s="546"/>
      <c r="W55" s="504">
        <f t="shared" si="30"/>
        <v>0</v>
      </c>
      <c r="X55" s="505">
        <f t="shared" si="6"/>
        <v>212</v>
      </c>
      <c r="Y55" s="505" t="str">
        <f t="shared" si="7"/>
        <v>Đ</v>
      </c>
      <c r="Z55" s="508">
        <f t="shared" si="8"/>
        <v>134</v>
      </c>
      <c r="AA55" s="508">
        <v>14</v>
      </c>
      <c r="AB55" s="560">
        <f t="shared" si="9"/>
        <v>857.1428571428571</v>
      </c>
      <c r="AC55" s="513">
        <f t="shared" si="10"/>
        <v>120</v>
      </c>
    </row>
    <row r="56" spans="1:29" ht="21.75" customHeight="1">
      <c r="A56" s="607" t="s">
        <v>474</v>
      </c>
      <c r="B56" s="437" t="s">
        <v>473</v>
      </c>
      <c r="C56" s="533">
        <f t="shared" si="23"/>
        <v>285</v>
      </c>
      <c r="D56" s="542">
        <v>267</v>
      </c>
      <c r="E56" s="542">
        <v>18</v>
      </c>
      <c r="F56" s="542"/>
      <c r="G56" s="538"/>
      <c r="H56" s="533">
        <f t="shared" si="24"/>
        <v>285</v>
      </c>
      <c r="I56" s="533">
        <f t="shared" si="25"/>
        <v>197</v>
      </c>
      <c r="J56" s="542">
        <v>7</v>
      </c>
      <c r="K56" s="542"/>
      <c r="L56" s="542">
        <v>190</v>
      </c>
      <c r="M56" s="542"/>
      <c r="N56" s="542"/>
      <c r="O56" s="542"/>
      <c r="P56" s="543"/>
      <c r="Q56" s="546">
        <v>88</v>
      </c>
      <c r="R56" s="534">
        <f t="shared" si="27"/>
        <v>278</v>
      </c>
      <c r="S56" s="539">
        <f t="shared" si="28"/>
        <v>3.5532994923857872</v>
      </c>
      <c r="T56" s="536">
        <f t="shared" si="4"/>
        <v>0.6912280701754386</v>
      </c>
      <c r="U56" s="537">
        <f t="shared" si="5"/>
        <v>190</v>
      </c>
      <c r="V56" s="546"/>
      <c r="W56" s="504">
        <f t="shared" si="30"/>
        <v>0</v>
      </c>
      <c r="X56" s="505">
        <f t="shared" si="6"/>
        <v>278</v>
      </c>
      <c r="Y56" s="505" t="str">
        <f t="shared" si="7"/>
        <v>Đ</v>
      </c>
      <c r="Z56" s="508">
        <f t="shared" si="8"/>
        <v>190</v>
      </c>
      <c r="AA56" s="508">
        <v>94</v>
      </c>
      <c r="AB56" s="560">
        <f t="shared" si="9"/>
        <v>102.12765957446808</v>
      </c>
      <c r="AC56" s="513">
        <f t="shared" si="10"/>
        <v>96</v>
      </c>
    </row>
    <row r="57" spans="1:29" ht="21.75" customHeight="1">
      <c r="A57" s="607" t="s">
        <v>472</v>
      </c>
      <c r="B57" s="437" t="s">
        <v>471</v>
      </c>
      <c r="C57" s="533">
        <f t="shared" si="23"/>
        <v>393</v>
      </c>
      <c r="D57" s="542">
        <v>305</v>
      </c>
      <c r="E57" s="542">
        <v>88</v>
      </c>
      <c r="F57" s="542"/>
      <c r="G57" s="538"/>
      <c r="H57" s="533">
        <f t="shared" si="24"/>
        <v>393</v>
      </c>
      <c r="I57" s="533">
        <f t="shared" si="25"/>
        <v>302</v>
      </c>
      <c r="J57" s="542">
        <v>57</v>
      </c>
      <c r="K57" s="542"/>
      <c r="L57" s="542">
        <v>245</v>
      </c>
      <c r="M57" s="542"/>
      <c r="N57" s="542"/>
      <c r="O57" s="542"/>
      <c r="P57" s="543"/>
      <c r="Q57" s="546">
        <v>91</v>
      </c>
      <c r="R57" s="534">
        <f t="shared" si="27"/>
        <v>336</v>
      </c>
      <c r="S57" s="539">
        <f t="shared" si="28"/>
        <v>18.874172185430464</v>
      </c>
      <c r="T57" s="536">
        <f t="shared" si="4"/>
        <v>0.7684478371501272</v>
      </c>
      <c r="U57" s="537">
        <f t="shared" si="5"/>
        <v>245</v>
      </c>
      <c r="V57" s="546"/>
      <c r="W57" s="504">
        <f t="shared" si="30"/>
        <v>0</v>
      </c>
      <c r="X57" s="505">
        <f t="shared" si="6"/>
        <v>336</v>
      </c>
      <c r="Y57" s="505" t="str">
        <f t="shared" si="7"/>
        <v>Đ</v>
      </c>
      <c r="Z57" s="508">
        <f t="shared" si="8"/>
        <v>245</v>
      </c>
      <c r="AA57" s="508">
        <v>154</v>
      </c>
      <c r="AB57" s="560">
        <f t="shared" si="9"/>
        <v>59.09090909090909</v>
      </c>
      <c r="AC57" s="513">
        <f t="shared" si="10"/>
        <v>91</v>
      </c>
    </row>
    <row r="58" spans="1:29" ht="21.75" customHeight="1">
      <c r="A58" s="607" t="s">
        <v>470</v>
      </c>
      <c r="B58" s="437" t="s">
        <v>563</v>
      </c>
      <c r="C58" s="533">
        <f t="shared" si="23"/>
        <v>202</v>
      </c>
      <c r="D58" s="542">
        <v>166</v>
      </c>
      <c r="E58" s="542">
        <v>36</v>
      </c>
      <c r="F58" s="542"/>
      <c r="G58" s="538"/>
      <c r="H58" s="533">
        <f t="shared" si="24"/>
        <v>202</v>
      </c>
      <c r="I58" s="533">
        <f t="shared" si="25"/>
        <v>128</v>
      </c>
      <c r="J58" s="542">
        <v>21</v>
      </c>
      <c r="K58" s="542"/>
      <c r="L58" s="542">
        <v>107</v>
      </c>
      <c r="M58" s="542"/>
      <c r="N58" s="542"/>
      <c r="O58" s="542"/>
      <c r="P58" s="543"/>
      <c r="Q58" s="546">
        <v>74</v>
      </c>
      <c r="R58" s="534">
        <f t="shared" si="27"/>
        <v>181</v>
      </c>
      <c r="S58" s="539">
        <f t="shared" si="28"/>
        <v>16.40625</v>
      </c>
      <c r="T58" s="536">
        <f t="shared" si="4"/>
        <v>0.6336633663366337</v>
      </c>
      <c r="U58" s="537">
        <f t="shared" si="5"/>
        <v>107</v>
      </c>
      <c r="V58" s="546"/>
      <c r="W58" s="504">
        <f t="shared" si="30"/>
        <v>0</v>
      </c>
      <c r="X58" s="505">
        <f t="shared" si="6"/>
        <v>181</v>
      </c>
      <c r="Y58" s="505" t="str">
        <f t="shared" si="7"/>
        <v>Đ</v>
      </c>
      <c r="Z58" s="508">
        <f t="shared" si="8"/>
        <v>107</v>
      </c>
      <c r="AA58" s="508">
        <v>50</v>
      </c>
      <c r="AB58" s="560">
        <f t="shared" si="9"/>
        <v>113.99999999999999</v>
      </c>
      <c r="AC58" s="513">
        <f t="shared" si="10"/>
        <v>57</v>
      </c>
    </row>
    <row r="59" spans="1:29" ht="21.75" customHeight="1">
      <c r="A59" s="607" t="s">
        <v>468</v>
      </c>
      <c r="B59" s="437" t="s">
        <v>531</v>
      </c>
      <c r="C59" s="533">
        <f t="shared" si="23"/>
        <v>200</v>
      </c>
      <c r="D59" s="542">
        <v>190</v>
      </c>
      <c r="E59" s="542">
        <v>10</v>
      </c>
      <c r="F59" s="542"/>
      <c r="G59" s="538"/>
      <c r="H59" s="533">
        <f t="shared" si="24"/>
        <v>200</v>
      </c>
      <c r="I59" s="533">
        <f t="shared" si="25"/>
        <v>136</v>
      </c>
      <c r="J59" s="542">
        <v>5</v>
      </c>
      <c r="K59" s="542"/>
      <c r="L59" s="542">
        <v>131</v>
      </c>
      <c r="M59" s="542"/>
      <c r="N59" s="542"/>
      <c r="O59" s="542"/>
      <c r="P59" s="543"/>
      <c r="Q59" s="546">
        <v>64</v>
      </c>
      <c r="R59" s="534">
        <f t="shared" si="27"/>
        <v>195</v>
      </c>
      <c r="S59" s="539">
        <f t="shared" si="28"/>
        <v>3.6764705882352944</v>
      </c>
      <c r="T59" s="536">
        <f t="shared" si="4"/>
        <v>0.68</v>
      </c>
      <c r="U59" s="537">
        <f t="shared" si="5"/>
        <v>131</v>
      </c>
      <c r="V59" s="546"/>
      <c r="W59" s="504">
        <f t="shared" si="30"/>
        <v>0</v>
      </c>
      <c r="X59" s="505">
        <f t="shared" si="6"/>
        <v>195</v>
      </c>
      <c r="Y59" s="505" t="str">
        <f>+IF(X58=R58,"Đ","S")</f>
        <v>Đ</v>
      </c>
      <c r="Z59" s="508"/>
      <c r="AA59" s="508"/>
      <c r="AB59" s="560"/>
      <c r="AC59" s="513"/>
    </row>
    <row r="60" spans="1:29" ht="21.75" customHeight="1">
      <c r="A60" s="607" t="s">
        <v>534</v>
      </c>
      <c r="B60" s="615" t="s">
        <v>551</v>
      </c>
      <c r="C60" s="533">
        <f t="shared" si="23"/>
        <v>154</v>
      </c>
      <c r="D60" s="529">
        <v>97</v>
      </c>
      <c r="E60" s="529">
        <v>57</v>
      </c>
      <c r="F60" s="529"/>
      <c r="G60" s="529"/>
      <c r="H60" s="533">
        <f t="shared" si="24"/>
        <v>154</v>
      </c>
      <c r="I60" s="533">
        <f t="shared" si="25"/>
        <v>103</v>
      </c>
      <c r="J60" s="529">
        <v>41</v>
      </c>
      <c r="K60" s="529"/>
      <c r="L60" s="529">
        <v>62</v>
      </c>
      <c r="M60" s="538"/>
      <c r="N60" s="538"/>
      <c r="O60" s="538"/>
      <c r="P60" s="538"/>
      <c r="Q60" s="529">
        <v>51</v>
      </c>
      <c r="R60" s="534">
        <f t="shared" si="27"/>
        <v>113</v>
      </c>
      <c r="S60" s="539">
        <f t="shared" si="28"/>
        <v>39.80582524271845</v>
      </c>
      <c r="T60" s="536">
        <f t="shared" si="4"/>
        <v>0.6688311688311688</v>
      </c>
      <c r="U60" s="537">
        <f t="shared" si="5"/>
        <v>62</v>
      </c>
      <c r="V60" s="546">
        <v>0</v>
      </c>
      <c r="W60" s="504">
        <f t="shared" si="30"/>
        <v>0</v>
      </c>
      <c r="X60" s="505">
        <f t="shared" si="6"/>
        <v>113</v>
      </c>
      <c r="Y60" s="505" t="str">
        <f t="shared" si="7"/>
        <v>Đ</v>
      </c>
      <c r="Z60" s="508">
        <f t="shared" si="8"/>
        <v>62</v>
      </c>
      <c r="AA60" s="508">
        <v>74</v>
      </c>
      <c r="AB60" s="560">
        <f t="shared" si="9"/>
        <v>-16.216216216216218</v>
      </c>
      <c r="AC60" s="513">
        <f t="shared" si="10"/>
        <v>-12</v>
      </c>
    </row>
    <row r="61" spans="1:29" ht="21.75" customHeight="1">
      <c r="A61" s="606" t="s">
        <v>61</v>
      </c>
      <c r="B61" s="532" t="s">
        <v>467</v>
      </c>
      <c r="C61" s="533">
        <f t="shared" si="23"/>
        <v>1563</v>
      </c>
      <c r="D61" s="533">
        <f>SUM(D62:D66)</f>
        <v>1160</v>
      </c>
      <c r="E61" s="533">
        <f>SUM(E62:E66)</f>
        <v>403</v>
      </c>
      <c r="F61" s="533">
        <f>SUM(F62:F66)</f>
        <v>1</v>
      </c>
      <c r="G61" s="533">
        <f>SUM(G62:G66)</f>
        <v>0</v>
      </c>
      <c r="H61" s="533">
        <f t="shared" si="24"/>
        <v>1562</v>
      </c>
      <c r="I61" s="533">
        <f t="shared" si="25"/>
        <v>1065</v>
      </c>
      <c r="J61" s="533">
        <f aca="true" t="shared" si="32" ref="J61:Q61">SUM(J62:J66)</f>
        <v>228</v>
      </c>
      <c r="K61" s="533">
        <f t="shared" si="32"/>
        <v>2</v>
      </c>
      <c r="L61" s="533">
        <f t="shared" si="32"/>
        <v>834</v>
      </c>
      <c r="M61" s="533">
        <f t="shared" si="32"/>
        <v>1</v>
      </c>
      <c r="N61" s="533">
        <f t="shared" si="32"/>
        <v>0</v>
      </c>
      <c r="O61" s="533">
        <f t="shared" si="32"/>
        <v>0</v>
      </c>
      <c r="P61" s="533">
        <f t="shared" si="32"/>
        <v>0</v>
      </c>
      <c r="Q61" s="533">
        <f t="shared" si="32"/>
        <v>497</v>
      </c>
      <c r="R61" s="534">
        <f t="shared" si="27"/>
        <v>1332</v>
      </c>
      <c r="S61" s="535">
        <f t="shared" si="28"/>
        <v>21.5962441314554</v>
      </c>
      <c r="T61" s="536">
        <f t="shared" si="4"/>
        <v>0.6818181818181818</v>
      </c>
      <c r="U61" s="537">
        <f t="shared" si="5"/>
        <v>835</v>
      </c>
      <c r="V61" s="473">
        <f>+V62+V63+V64+V65+V66</f>
        <v>0</v>
      </c>
      <c r="W61" s="504">
        <f t="shared" si="30"/>
        <v>0</v>
      </c>
      <c r="X61" s="505">
        <f t="shared" si="6"/>
        <v>1332</v>
      </c>
      <c r="Y61" s="505" t="str">
        <f t="shared" si="7"/>
        <v>Đ</v>
      </c>
      <c r="Z61" s="509">
        <f t="shared" si="8"/>
        <v>835</v>
      </c>
      <c r="AA61" s="509" t="e">
        <f>+AA62+AA63+AA64+AA65+AA66+#REF!</f>
        <v>#REF!</v>
      </c>
      <c r="AB61" s="560" t="e">
        <f t="shared" si="9"/>
        <v>#REF!</v>
      </c>
      <c r="AC61" s="513" t="e">
        <f t="shared" si="10"/>
        <v>#REF!</v>
      </c>
    </row>
    <row r="62" spans="1:29" ht="21.75" customHeight="1">
      <c r="A62" s="607" t="s">
        <v>466</v>
      </c>
      <c r="B62" s="608" t="s">
        <v>465</v>
      </c>
      <c r="C62" s="533">
        <f t="shared" si="23"/>
        <v>351</v>
      </c>
      <c r="D62" s="538">
        <v>253</v>
      </c>
      <c r="E62" s="538">
        <v>98</v>
      </c>
      <c r="F62" s="538"/>
      <c r="G62" s="538"/>
      <c r="H62" s="533">
        <f t="shared" si="24"/>
        <v>351</v>
      </c>
      <c r="I62" s="533">
        <f t="shared" si="25"/>
        <v>269</v>
      </c>
      <c r="J62" s="538">
        <v>47</v>
      </c>
      <c r="K62" s="538"/>
      <c r="L62" s="538">
        <v>222</v>
      </c>
      <c r="M62" s="538"/>
      <c r="N62" s="538"/>
      <c r="O62" s="538"/>
      <c r="P62" s="538"/>
      <c r="Q62" s="538">
        <v>82</v>
      </c>
      <c r="R62" s="534">
        <f t="shared" si="27"/>
        <v>304</v>
      </c>
      <c r="S62" s="539">
        <f t="shared" si="28"/>
        <v>17.472118959107807</v>
      </c>
      <c r="T62" s="536">
        <f t="shared" si="4"/>
        <v>0.7663817663817664</v>
      </c>
      <c r="U62" s="537">
        <f t="shared" si="5"/>
        <v>222</v>
      </c>
      <c r="V62" s="549"/>
      <c r="W62" s="504">
        <f t="shared" si="30"/>
        <v>0</v>
      </c>
      <c r="X62" s="505">
        <f t="shared" si="6"/>
        <v>304</v>
      </c>
      <c r="Y62" s="505" t="str">
        <f t="shared" si="7"/>
        <v>Đ</v>
      </c>
      <c r="Z62" s="508">
        <f>+L62+M62+N62+O62+P62</f>
        <v>222</v>
      </c>
      <c r="AA62" s="508">
        <v>34</v>
      </c>
      <c r="AB62" s="560">
        <f t="shared" si="9"/>
        <v>552.9411764705882</v>
      </c>
      <c r="AC62" s="513">
        <f t="shared" si="10"/>
        <v>188</v>
      </c>
    </row>
    <row r="63" spans="1:29" ht="21.75" customHeight="1">
      <c r="A63" s="607" t="s">
        <v>464</v>
      </c>
      <c r="B63" s="608" t="s">
        <v>463</v>
      </c>
      <c r="C63" s="533">
        <f t="shared" si="23"/>
        <v>403</v>
      </c>
      <c r="D63" s="538">
        <v>306</v>
      </c>
      <c r="E63" s="538">
        <v>97</v>
      </c>
      <c r="F63" s="538">
        <v>1</v>
      </c>
      <c r="G63" s="538"/>
      <c r="H63" s="533">
        <f t="shared" si="24"/>
        <v>402</v>
      </c>
      <c r="I63" s="533">
        <f t="shared" si="25"/>
        <v>237</v>
      </c>
      <c r="J63" s="538">
        <v>56</v>
      </c>
      <c r="K63" s="538"/>
      <c r="L63" s="538">
        <v>181</v>
      </c>
      <c r="M63" s="538"/>
      <c r="N63" s="538"/>
      <c r="O63" s="538"/>
      <c r="P63" s="538"/>
      <c r="Q63" s="538">
        <v>165</v>
      </c>
      <c r="R63" s="534">
        <f t="shared" si="27"/>
        <v>346</v>
      </c>
      <c r="S63" s="539">
        <f t="shared" si="28"/>
        <v>23.628691983122362</v>
      </c>
      <c r="T63" s="536">
        <f t="shared" si="4"/>
        <v>0.5895522388059702</v>
      </c>
      <c r="U63" s="537">
        <f t="shared" si="5"/>
        <v>181</v>
      </c>
      <c r="V63" s="549"/>
      <c r="W63" s="504">
        <f t="shared" si="30"/>
        <v>0</v>
      </c>
      <c r="X63" s="505">
        <f t="shared" si="6"/>
        <v>346</v>
      </c>
      <c r="Y63" s="505" t="str">
        <f t="shared" si="7"/>
        <v>Đ</v>
      </c>
      <c r="Z63" s="508">
        <f t="shared" si="8"/>
        <v>181</v>
      </c>
      <c r="AA63" s="508">
        <v>79</v>
      </c>
      <c r="AB63" s="560">
        <f t="shared" si="9"/>
        <v>129.1139240506329</v>
      </c>
      <c r="AC63" s="513">
        <f t="shared" si="10"/>
        <v>102</v>
      </c>
    </row>
    <row r="64" spans="1:29" ht="21.75" customHeight="1">
      <c r="A64" s="607" t="s">
        <v>462</v>
      </c>
      <c r="B64" s="608" t="s">
        <v>461</v>
      </c>
      <c r="C64" s="533">
        <f t="shared" si="23"/>
        <v>160</v>
      </c>
      <c r="D64" s="538">
        <v>115</v>
      </c>
      <c r="E64" s="538">
        <v>45</v>
      </c>
      <c r="F64" s="538"/>
      <c r="G64" s="538"/>
      <c r="H64" s="533">
        <f t="shared" si="24"/>
        <v>160</v>
      </c>
      <c r="I64" s="533">
        <f t="shared" si="25"/>
        <v>126</v>
      </c>
      <c r="J64" s="538">
        <v>20</v>
      </c>
      <c r="K64" s="538"/>
      <c r="L64" s="538">
        <v>105</v>
      </c>
      <c r="M64" s="538">
        <v>1</v>
      </c>
      <c r="N64" s="538"/>
      <c r="O64" s="538"/>
      <c r="P64" s="538"/>
      <c r="Q64" s="538">
        <v>34</v>
      </c>
      <c r="R64" s="534">
        <f t="shared" si="27"/>
        <v>140</v>
      </c>
      <c r="S64" s="539">
        <f t="shared" si="28"/>
        <v>15.873015873015872</v>
      </c>
      <c r="T64" s="536">
        <f t="shared" si="4"/>
        <v>0.7875</v>
      </c>
      <c r="U64" s="537">
        <f t="shared" si="5"/>
        <v>106</v>
      </c>
      <c r="V64" s="549"/>
      <c r="W64" s="504">
        <f t="shared" si="30"/>
        <v>0</v>
      </c>
      <c r="X64" s="505">
        <f t="shared" si="6"/>
        <v>140</v>
      </c>
      <c r="Y64" s="505" t="str">
        <f t="shared" si="7"/>
        <v>Đ</v>
      </c>
      <c r="Z64" s="508">
        <f t="shared" si="8"/>
        <v>106</v>
      </c>
      <c r="AA64" s="508">
        <v>16</v>
      </c>
      <c r="AB64" s="560">
        <f t="shared" si="9"/>
        <v>562.5</v>
      </c>
      <c r="AC64" s="513">
        <f t="shared" si="10"/>
        <v>90</v>
      </c>
    </row>
    <row r="65" spans="1:29" ht="21.75" customHeight="1">
      <c r="A65" s="607" t="s">
        <v>460</v>
      </c>
      <c r="B65" s="608" t="s">
        <v>562</v>
      </c>
      <c r="C65" s="533">
        <f t="shared" si="23"/>
        <v>474</v>
      </c>
      <c r="D65" s="538">
        <v>370</v>
      </c>
      <c r="E65" s="538">
        <v>104</v>
      </c>
      <c r="F65" s="538"/>
      <c r="G65" s="538"/>
      <c r="H65" s="533">
        <f t="shared" si="24"/>
        <v>474</v>
      </c>
      <c r="I65" s="533">
        <f t="shared" si="25"/>
        <v>265</v>
      </c>
      <c r="J65" s="538">
        <v>68</v>
      </c>
      <c r="K65" s="538"/>
      <c r="L65" s="538">
        <v>197</v>
      </c>
      <c r="M65" s="538"/>
      <c r="N65" s="538"/>
      <c r="O65" s="538"/>
      <c r="P65" s="538"/>
      <c r="Q65" s="538">
        <v>209</v>
      </c>
      <c r="R65" s="534">
        <f t="shared" si="27"/>
        <v>406</v>
      </c>
      <c r="S65" s="539">
        <f t="shared" si="28"/>
        <v>25.660377358490567</v>
      </c>
      <c r="T65" s="536">
        <f t="shared" si="4"/>
        <v>0.5590717299578059</v>
      </c>
      <c r="U65" s="537">
        <f t="shared" si="5"/>
        <v>197</v>
      </c>
      <c r="V65" s="549"/>
      <c r="W65" s="504">
        <f t="shared" si="30"/>
        <v>0</v>
      </c>
      <c r="X65" s="505">
        <f t="shared" si="6"/>
        <v>406</v>
      </c>
      <c r="Y65" s="505" t="str">
        <f t="shared" si="7"/>
        <v>Đ</v>
      </c>
      <c r="Z65" s="564">
        <f t="shared" si="8"/>
        <v>197</v>
      </c>
      <c r="AA65" s="564"/>
      <c r="AB65" s="560" t="e">
        <f t="shared" si="9"/>
        <v>#DIV/0!</v>
      </c>
      <c r="AC65" s="513">
        <f t="shared" si="10"/>
        <v>197</v>
      </c>
    </row>
    <row r="66" spans="1:29" ht="21.75" customHeight="1">
      <c r="A66" s="607" t="s">
        <v>459</v>
      </c>
      <c r="B66" s="608" t="s">
        <v>533</v>
      </c>
      <c r="C66" s="533">
        <f t="shared" si="23"/>
        <v>175</v>
      </c>
      <c r="D66" s="538">
        <v>116</v>
      </c>
      <c r="E66" s="538">
        <v>59</v>
      </c>
      <c r="F66" s="538"/>
      <c r="G66" s="538"/>
      <c r="H66" s="533">
        <f t="shared" si="24"/>
        <v>175</v>
      </c>
      <c r="I66" s="533">
        <f t="shared" si="25"/>
        <v>168</v>
      </c>
      <c r="J66" s="538">
        <v>37</v>
      </c>
      <c r="K66" s="538">
        <v>2</v>
      </c>
      <c r="L66" s="538">
        <v>129</v>
      </c>
      <c r="M66" s="538"/>
      <c r="N66" s="538"/>
      <c r="O66" s="538"/>
      <c r="P66" s="538"/>
      <c r="Q66" s="538">
        <v>7</v>
      </c>
      <c r="R66" s="534">
        <f t="shared" si="27"/>
        <v>136</v>
      </c>
      <c r="S66" s="539">
        <f t="shared" si="28"/>
        <v>23.214285714285715</v>
      </c>
      <c r="T66" s="536">
        <f t="shared" si="4"/>
        <v>0.96</v>
      </c>
      <c r="U66" s="537">
        <f t="shared" si="5"/>
        <v>129</v>
      </c>
      <c r="V66" s="549"/>
      <c r="W66" s="504">
        <f t="shared" si="30"/>
        <v>0</v>
      </c>
      <c r="X66" s="505">
        <f t="shared" si="6"/>
        <v>136</v>
      </c>
      <c r="Y66" s="505" t="str">
        <f t="shared" si="7"/>
        <v>Đ</v>
      </c>
      <c r="Z66" s="564">
        <f t="shared" si="8"/>
        <v>129</v>
      </c>
      <c r="AA66" s="564">
        <v>68</v>
      </c>
      <c r="AB66" s="560">
        <f t="shared" si="9"/>
        <v>89.70588235294117</v>
      </c>
      <c r="AC66" s="513">
        <f t="shared" si="10"/>
        <v>61</v>
      </c>
    </row>
    <row r="67" spans="1:29" ht="21.75" customHeight="1">
      <c r="A67" s="606" t="s">
        <v>62</v>
      </c>
      <c r="B67" s="532" t="s">
        <v>458</v>
      </c>
      <c r="C67" s="533">
        <f aca="true" t="shared" si="33" ref="C67:R67">+C68+C69+C70+C71+C72</f>
        <v>1527</v>
      </c>
      <c r="D67" s="533">
        <f t="shared" si="33"/>
        <v>1390</v>
      </c>
      <c r="E67" s="533">
        <f t="shared" si="33"/>
        <v>137</v>
      </c>
      <c r="F67" s="533">
        <f t="shared" si="33"/>
        <v>0</v>
      </c>
      <c r="G67" s="533">
        <f t="shared" si="33"/>
        <v>0</v>
      </c>
      <c r="H67" s="533">
        <f t="shared" si="33"/>
        <v>1527</v>
      </c>
      <c r="I67" s="533">
        <f t="shared" si="33"/>
        <v>1059</v>
      </c>
      <c r="J67" s="533">
        <f t="shared" si="33"/>
        <v>82</v>
      </c>
      <c r="K67" s="533">
        <f t="shared" si="33"/>
        <v>14</v>
      </c>
      <c r="L67" s="533">
        <f t="shared" si="33"/>
        <v>962</v>
      </c>
      <c r="M67" s="533">
        <f t="shared" si="33"/>
        <v>0</v>
      </c>
      <c r="N67" s="533">
        <f t="shared" si="33"/>
        <v>1</v>
      </c>
      <c r="O67" s="533">
        <f t="shared" si="33"/>
        <v>0</v>
      </c>
      <c r="P67" s="533">
        <f t="shared" si="33"/>
        <v>0</v>
      </c>
      <c r="Q67" s="533">
        <f t="shared" si="33"/>
        <v>468</v>
      </c>
      <c r="R67" s="533">
        <f t="shared" si="33"/>
        <v>1431</v>
      </c>
      <c r="S67" s="535">
        <f t="shared" si="28"/>
        <v>9.06515580736544</v>
      </c>
      <c r="T67" s="536">
        <f t="shared" si="4"/>
        <v>0.693516699410609</v>
      </c>
      <c r="U67" s="537">
        <f t="shared" si="5"/>
        <v>963</v>
      </c>
      <c r="V67" s="473"/>
      <c r="W67" s="504">
        <f t="shared" si="30"/>
        <v>0</v>
      </c>
      <c r="X67" s="505">
        <f t="shared" si="6"/>
        <v>1431</v>
      </c>
      <c r="Y67" s="505" t="str">
        <f t="shared" si="7"/>
        <v>Đ</v>
      </c>
      <c r="Z67" s="509">
        <f t="shared" si="8"/>
        <v>963</v>
      </c>
      <c r="AA67" s="509" t="e">
        <f>+#REF!+AA68+AA69+AA71+AA72</f>
        <v>#REF!</v>
      </c>
      <c r="AB67" s="560" t="e">
        <f t="shared" si="9"/>
        <v>#REF!</v>
      </c>
      <c r="AC67" s="513" t="e">
        <f t="shared" si="10"/>
        <v>#REF!</v>
      </c>
    </row>
    <row r="68" spans="1:29" ht="21.75" customHeight="1">
      <c r="A68" s="607" t="s">
        <v>457</v>
      </c>
      <c r="B68" s="616" t="s">
        <v>566</v>
      </c>
      <c r="C68" s="533">
        <f t="shared" si="23"/>
        <v>55</v>
      </c>
      <c r="D68" s="593">
        <v>45</v>
      </c>
      <c r="E68" s="593">
        <v>10</v>
      </c>
      <c r="F68" s="593"/>
      <c r="G68" s="593"/>
      <c r="H68" s="533">
        <f t="shared" si="24"/>
        <v>55</v>
      </c>
      <c r="I68" s="533">
        <f t="shared" si="25"/>
        <v>42</v>
      </c>
      <c r="J68" s="593">
        <v>8</v>
      </c>
      <c r="K68" s="593">
        <v>0</v>
      </c>
      <c r="L68" s="593">
        <v>34</v>
      </c>
      <c r="M68" s="593"/>
      <c r="N68" s="593"/>
      <c r="O68" s="593"/>
      <c r="P68" s="593"/>
      <c r="Q68" s="593">
        <v>13</v>
      </c>
      <c r="R68" s="534">
        <f>+Q68+P68+O68+M68+L68</f>
        <v>47</v>
      </c>
      <c r="S68" s="539">
        <f t="shared" si="28"/>
        <v>19.047619047619047</v>
      </c>
      <c r="T68" s="536">
        <f t="shared" si="4"/>
        <v>0.7636363636363637</v>
      </c>
      <c r="U68" s="537">
        <f t="shared" si="5"/>
        <v>34</v>
      </c>
      <c r="V68" s="551"/>
      <c r="W68" s="504">
        <f t="shared" si="30"/>
        <v>0</v>
      </c>
      <c r="X68" s="505">
        <f t="shared" si="6"/>
        <v>47</v>
      </c>
      <c r="Y68" s="505" t="str">
        <f t="shared" si="7"/>
        <v>Đ</v>
      </c>
      <c r="Z68" s="508">
        <f t="shared" si="8"/>
        <v>34</v>
      </c>
      <c r="AA68" s="508">
        <v>75</v>
      </c>
      <c r="AB68" s="560">
        <f t="shared" si="9"/>
        <v>-54.666666666666664</v>
      </c>
      <c r="AC68" s="513">
        <f t="shared" si="10"/>
        <v>-41</v>
      </c>
    </row>
    <row r="69" spans="1:29" ht="21.75" customHeight="1">
      <c r="A69" s="607" t="s">
        <v>456</v>
      </c>
      <c r="B69" s="617" t="s">
        <v>552</v>
      </c>
      <c r="C69" s="533">
        <f t="shared" si="23"/>
        <v>262</v>
      </c>
      <c r="D69" s="593">
        <v>224</v>
      </c>
      <c r="E69" s="593">
        <v>38</v>
      </c>
      <c r="F69" s="593"/>
      <c r="G69" s="593"/>
      <c r="H69" s="533">
        <f t="shared" si="24"/>
        <v>262</v>
      </c>
      <c r="I69" s="533">
        <f t="shared" si="25"/>
        <v>211</v>
      </c>
      <c r="J69" s="593">
        <v>15</v>
      </c>
      <c r="K69" s="593">
        <v>1</v>
      </c>
      <c r="L69" s="593">
        <v>195</v>
      </c>
      <c r="M69" s="593"/>
      <c r="N69" s="593"/>
      <c r="O69" s="593"/>
      <c r="P69" s="593"/>
      <c r="Q69" s="593">
        <v>51</v>
      </c>
      <c r="R69" s="534">
        <f>+Q69+P69+O69+M69+L69</f>
        <v>246</v>
      </c>
      <c r="S69" s="539">
        <f t="shared" si="28"/>
        <v>7.5829383886255926</v>
      </c>
      <c r="T69" s="536">
        <f t="shared" si="4"/>
        <v>0.8053435114503816</v>
      </c>
      <c r="U69" s="537">
        <f t="shared" si="5"/>
        <v>195</v>
      </c>
      <c r="V69" s="551"/>
      <c r="W69" s="504">
        <f t="shared" si="30"/>
        <v>0</v>
      </c>
      <c r="X69" s="505">
        <f t="shared" si="6"/>
        <v>246</v>
      </c>
      <c r="Y69" s="505" t="str">
        <f t="shared" si="7"/>
        <v>Đ</v>
      </c>
      <c r="Z69" s="508">
        <f t="shared" si="8"/>
        <v>195</v>
      </c>
      <c r="AA69" s="508">
        <v>91</v>
      </c>
      <c r="AB69" s="560">
        <f t="shared" si="9"/>
        <v>114.28571428571428</v>
      </c>
      <c r="AC69" s="513">
        <f t="shared" si="10"/>
        <v>104</v>
      </c>
    </row>
    <row r="70" spans="1:29" ht="21.75" customHeight="1">
      <c r="A70" s="607" t="s">
        <v>455</v>
      </c>
      <c r="B70" s="616" t="s">
        <v>554</v>
      </c>
      <c r="C70" s="533">
        <f t="shared" si="23"/>
        <v>233</v>
      </c>
      <c r="D70" s="593">
        <v>199</v>
      </c>
      <c r="E70" s="593">
        <v>34</v>
      </c>
      <c r="F70" s="593"/>
      <c r="G70" s="593"/>
      <c r="H70" s="533">
        <f t="shared" si="24"/>
        <v>233</v>
      </c>
      <c r="I70" s="533">
        <f t="shared" si="25"/>
        <v>194</v>
      </c>
      <c r="J70" s="593">
        <v>23</v>
      </c>
      <c r="K70" s="593">
        <v>2</v>
      </c>
      <c r="L70" s="593">
        <v>169</v>
      </c>
      <c r="M70" s="593"/>
      <c r="N70" s="593"/>
      <c r="O70" s="593"/>
      <c r="P70" s="593"/>
      <c r="Q70" s="593">
        <v>39</v>
      </c>
      <c r="R70" s="534">
        <f>+Q70+P70+O70+M70+L70</f>
        <v>208</v>
      </c>
      <c r="S70" s="539">
        <f t="shared" si="28"/>
        <v>12.886597938144329</v>
      </c>
      <c r="T70" s="536">
        <f t="shared" si="4"/>
        <v>0.8326180257510729</v>
      </c>
      <c r="U70" s="537">
        <f t="shared" si="5"/>
        <v>169</v>
      </c>
      <c r="V70" s="551"/>
      <c r="W70" s="504">
        <f t="shared" si="30"/>
        <v>0</v>
      </c>
      <c r="X70" s="505">
        <f t="shared" si="6"/>
        <v>208</v>
      </c>
      <c r="Y70" s="505" t="str">
        <f t="shared" si="7"/>
        <v>Đ</v>
      </c>
      <c r="Z70" s="508"/>
      <c r="AA70" s="508"/>
      <c r="AB70" s="560"/>
      <c r="AC70" s="513"/>
    </row>
    <row r="71" spans="1:29" ht="21.75" customHeight="1">
      <c r="A71" s="607" t="s">
        <v>454</v>
      </c>
      <c r="B71" s="617" t="s">
        <v>553</v>
      </c>
      <c r="C71" s="533">
        <f t="shared" si="23"/>
        <v>742</v>
      </c>
      <c r="D71" s="593">
        <v>709</v>
      </c>
      <c r="E71" s="593">
        <v>33</v>
      </c>
      <c r="F71" s="593"/>
      <c r="G71" s="593"/>
      <c r="H71" s="533">
        <f t="shared" si="24"/>
        <v>742</v>
      </c>
      <c r="I71" s="533">
        <f t="shared" si="25"/>
        <v>438</v>
      </c>
      <c r="J71" s="594">
        <v>22</v>
      </c>
      <c r="K71" s="594">
        <v>11</v>
      </c>
      <c r="L71" s="594">
        <v>405</v>
      </c>
      <c r="M71" s="594"/>
      <c r="N71" s="594"/>
      <c r="O71" s="594"/>
      <c r="P71" s="594"/>
      <c r="Q71" s="594">
        <v>304</v>
      </c>
      <c r="R71" s="534">
        <f>+Q71+P71+O71+M71+L71</f>
        <v>709</v>
      </c>
      <c r="S71" s="539">
        <f t="shared" si="28"/>
        <v>7.534246575342466</v>
      </c>
      <c r="T71" s="536">
        <f t="shared" si="4"/>
        <v>0.5902964959568733</v>
      </c>
      <c r="U71" s="537">
        <f t="shared" si="5"/>
        <v>405</v>
      </c>
      <c r="V71" s="551"/>
      <c r="W71" s="504">
        <f t="shared" si="30"/>
        <v>0</v>
      </c>
      <c r="X71" s="505">
        <f t="shared" si="6"/>
        <v>709</v>
      </c>
      <c r="Y71" s="505" t="str">
        <f t="shared" si="7"/>
        <v>Đ</v>
      </c>
      <c r="Z71" s="508">
        <f t="shared" si="8"/>
        <v>405</v>
      </c>
      <c r="AA71" s="508">
        <v>68</v>
      </c>
      <c r="AB71" s="560">
        <f t="shared" si="9"/>
        <v>495.5882352941177</v>
      </c>
      <c r="AC71" s="513">
        <f t="shared" si="10"/>
        <v>337</v>
      </c>
    </row>
    <row r="72" spans="1:29" ht="21.75" customHeight="1">
      <c r="A72" s="607" t="s">
        <v>452</v>
      </c>
      <c r="B72" s="618" t="s">
        <v>556</v>
      </c>
      <c r="C72" s="533">
        <f t="shared" si="23"/>
        <v>235</v>
      </c>
      <c r="D72" s="593">
        <v>213</v>
      </c>
      <c r="E72" s="593">
        <v>22</v>
      </c>
      <c r="F72" s="593"/>
      <c r="G72" s="549"/>
      <c r="H72" s="533">
        <f>+I72+Q72</f>
        <v>235</v>
      </c>
      <c r="I72" s="533">
        <f>+J72+K72+L72+M72+N72+O72+P72</f>
        <v>174</v>
      </c>
      <c r="J72" s="593">
        <v>14</v>
      </c>
      <c r="K72" s="593">
        <v>0</v>
      </c>
      <c r="L72" s="593">
        <v>159</v>
      </c>
      <c r="M72" s="549"/>
      <c r="N72" s="593">
        <v>1</v>
      </c>
      <c r="O72" s="549"/>
      <c r="P72" s="549"/>
      <c r="Q72" s="593">
        <v>61</v>
      </c>
      <c r="R72" s="534">
        <f>+Q72+P72+O72+N72+M72+L72</f>
        <v>221</v>
      </c>
      <c r="S72" s="539">
        <f t="shared" si="28"/>
        <v>8.045977011494253</v>
      </c>
      <c r="T72" s="536">
        <f t="shared" si="4"/>
        <v>0.7404255319148936</v>
      </c>
      <c r="U72" s="537">
        <f t="shared" si="5"/>
        <v>160</v>
      </c>
      <c r="V72" s="551"/>
      <c r="W72" s="504">
        <f t="shared" si="30"/>
        <v>0</v>
      </c>
      <c r="X72" s="505">
        <f>+L72+M72+N72+O72+P72+Q72</f>
        <v>221</v>
      </c>
      <c r="Y72" s="505" t="str">
        <f t="shared" si="7"/>
        <v>Đ</v>
      </c>
      <c r="Z72" s="508">
        <f t="shared" si="8"/>
        <v>160</v>
      </c>
      <c r="AA72" s="508">
        <v>113</v>
      </c>
      <c r="AB72" s="560">
        <f t="shared" si="9"/>
        <v>41.5929203539823</v>
      </c>
      <c r="AC72" s="513">
        <f t="shared" si="10"/>
        <v>47</v>
      </c>
    </row>
    <row r="73" spans="1:29" ht="21.75" customHeight="1">
      <c r="A73" s="606" t="s">
        <v>63</v>
      </c>
      <c r="B73" s="532" t="s">
        <v>451</v>
      </c>
      <c r="C73" s="533">
        <f t="shared" si="23"/>
        <v>852</v>
      </c>
      <c r="D73" s="533">
        <f>SUM(D74:D78)</f>
        <v>613</v>
      </c>
      <c r="E73" s="533">
        <f>SUM(E74:E78)</f>
        <v>239</v>
      </c>
      <c r="F73" s="533">
        <f>SUM(F74:F78)</f>
        <v>0</v>
      </c>
      <c r="G73" s="533">
        <f>SUM(G74:G78)</f>
        <v>0</v>
      </c>
      <c r="H73" s="533">
        <f aca="true" t="shared" si="34" ref="H73:H78">I73+Q73</f>
        <v>852</v>
      </c>
      <c r="I73" s="533">
        <f aca="true" t="shared" si="35" ref="I73:Q73">SUM(I74:I78)</f>
        <v>520</v>
      </c>
      <c r="J73" s="533">
        <f t="shared" si="35"/>
        <v>146</v>
      </c>
      <c r="K73" s="533">
        <f t="shared" si="35"/>
        <v>1</v>
      </c>
      <c r="L73" s="533">
        <f t="shared" si="35"/>
        <v>370</v>
      </c>
      <c r="M73" s="533">
        <f t="shared" si="35"/>
        <v>2</v>
      </c>
      <c r="N73" s="533">
        <f t="shared" si="35"/>
        <v>0</v>
      </c>
      <c r="O73" s="533">
        <f t="shared" si="35"/>
        <v>0</v>
      </c>
      <c r="P73" s="533">
        <f t="shared" si="35"/>
        <v>1</v>
      </c>
      <c r="Q73" s="533">
        <f t="shared" si="35"/>
        <v>332</v>
      </c>
      <c r="R73" s="534">
        <f t="shared" si="27"/>
        <v>705</v>
      </c>
      <c r="S73" s="535">
        <f t="shared" si="28"/>
        <v>28.26923076923077</v>
      </c>
      <c r="T73" s="536">
        <f t="shared" si="4"/>
        <v>0.6103286384976526</v>
      </c>
      <c r="U73" s="537">
        <f t="shared" si="5"/>
        <v>373</v>
      </c>
      <c r="V73" s="533">
        <f>SUM(V74:V78)</f>
        <v>0</v>
      </c>
      <c r="W73" s="504">
        <f t="shared" si="30"/>
        <v>0</v>
      </c>
      <c r="X73" s="505">
        <f t="shared" si="6"/>
        <v>705</v>
      </c>
      <c r="Y73" s="505" t="str">
        <f t="shared" si="7"/>
        <v>Đ</v>
      </c>
      <c r="Z73" s="509">
        <f t="shared" si="8"/>
        <v>373</v>
      </c>
      <c r="AA73" s="509">
        <f>+AA74+AA75+AA77+AA78</f>
        <v>296</v>
      </c>
      <c r="AB73" s="560">
        <f t="shared" si="9"/>
        <v>26.013513513513516</v>
      </c>
      <c r="AC73" s="513">
        <f t="shared" si="10"/>
        <v>77</v>
      </c>
    </row>
    <row r="74" spans="1:29" ht="21.75" customHeight="1">
      <c r="A74" s="607" t="s">
        <v>450</v>
      </c>
      <c r="B74" s="437" t="s">
        <v>449</v>
      </c>
      <c r="C74" s="533">
        <f t="shared" si="23"/>
        <v>61</v>
      </c>
      <c r="D74" s="573">
        <v>54</v>
      </c>
      <c r="E74" s="529">
        <v>7</v>
      </c>
      <c r="F74" s="529">
        <v>0</v>
      </c>
      <c r="G74" s="538"/>
      <c r="H74" s="533">
        <f t="shared" si="34"/>
        <v>61</v>
      </c>
      <c r="I74" s="533">
        <f>SUM(J74:P74)</f>
        <v>22</v>
      </c>
      <c r="J74" s="529">
        <v>6</v>
      </c>
      <c r="K74" s="529">
        <v>0</v>
      </c>
      <c r="L74" s="529">
        <v>16</v>
      </c>
      <c r="M74" s="529">
        <v>0</v>
      </c>
      <c r="N74" s="529"/>
      <c r="O74" s="529"/>
      <c r="P74" s="530">
        <v>0</v>
      </c>
      <c r="Q74" s="531">
        <v>39</v>
      </c>
      <c r="R74" s="534">
        <f t="shared" si="27"/>
        <v>55</v>
      </c>
      <c r="S74" s="539">
        <f t="shared" si="28"/>
        <v>27.27272727272727</v>
      </c>
      <c r="T74" s="536">
        <f t="shared" si="4"/>
        <v>0.36065573770491804</v>
      </c>
      <c r="U74" s="537">
        <f t="shared" si="5"/>
        <v>16</v>
      </c>
      <c r="V74" s="537"/>
      <c r="W74" s="504">
        <f t="shared" si="30"/>
        <v>0</v>
      </c>
      <c r="X74" s="505">
        <f t="shared" si="6"/>
        <v>55</v>
      </c>
      <c r="Y74" s="505" t="str">
        <f t="shared" si="7"/>
        <v>Đ</v>
      </c>
      <c r="Z74" s="508">
        <f t="shared" si="8"/>
        <v>16</v>
      </c>
      <c r="AA74" s="508">
        <v>29</v>
      </c>
      <c r="AB74" s="560">
        <f t="shared" si="9"/>
        <v>-44.827586206896555</v>
      </c>
      <c r="AC74" s="513">
        <f t="shared" si="10"/>
        <v>-13</v>
      </c>
    </row>
    <row r="75" spans="1:29" ht="21.75" customHeight="1">
      <c r="A75" s="607" t="s">
        <v>448</v>
      </c>
      <c r="B75" s="437" t="s">
        <v>447</v>
      </c>
      <c r="C75" s="533">
        <f t="shared" si="23"/>
        <v>212</v>
      </c>
      <c r="D75" s="573">
        <v>164</v>
      </c>
      <c r="E75" s="529">
        <v>48</v>
      </c>
      <c r="F75" s="529">
        <v>0</v>
      </c>
      <c r="G75" s="538"/>
      <c r="H75" s="533">
        <f t="shared" si="34"/>
        <v>212</v>
      </c>
      <c r="I75" s="533">
        <f>SUM(J75:P75)</f>
        <v>119</v>
      </c>
      <c r="J75" s="529">
        <v>31</v>
      </c>
      <c r="K75" s="529">
        <v>0</v>
      </c>
      <c r="L75" s="529">
        <v>85</v>
      </c>
      <c r="M75" s="529">
        <v>2</v>
      </c>
      <c r="N75" s="529"/>
      <c r="O75" s="529"/>
      <c r="P75" s="530">
        <v>1</v>
      </c>
      <c r="Q75" s="531">
        <v>93</v>
      </c>
      <c r="R75" s="534">
        <f t="shared" si="27"/>
        <v>181</v>
      </c>
      <c r="S75" s="539">
        <f t="shared" si="28"/>
        <v>26.05042016806723</v>
      </c>
      <c r="T75" s="536">
        <f t="shared" si="4"/>
        <v>0.5613207547169812</v>
      </c>
      <c r="U75" s="537">
        <f t="shared" si="5"/>
        <v>88</v>
      </c>
      <c r="V75" s="537"/>
      <c r="W75" s="504">
        <f t="shared" si="30"/>
        <v>0</v>
      </c>
      <c r="X75" s="505">
        <f t="shared" si="6"/>
        <v>181</v>
      </c>
      <c r="Y75" s="505" t="str">
        <f t="shared" si="7"/>
        <v>Đ</v>
      </c>
      <c r="Z75" s="508">
        <f t="shared" si="8"/>
        <v>88</v>
      </c>
      <c r="AA75" s="508">
        <v>49</v>
      </c>
      <c r="AB75" s="560">
        <f t="shared" si="9"/>
        <v>79.59183673469387</v>
      </c>
      <c r="AC75" s="513">
        <f t="shared" si="10"/>
        <v>39</v>
      </c>
    </row>
    <row r="76" spans="1:29" ht="21.75" customHeight="1">
      <c r="A76" s="607" t="s">
        <v>446</v>
      </c>
      <c r="B76" s="437" t="s">
        <v>558</v>
      </c>
      <c r="C76" s="533">
        <f t="shared" si="23"/>
        <v>235</v>
      </c>
      <c r="D76" s="573">
        <v>151</v>
      </c>
      <c r="E76" s="529">
        <v>84</v>
      </c>
      <c r="F76" s="529">
        <v>0</v>
      </c>
      <c r="G76" s="538"/>
      <c r="H76" s="533">
        <f t="shared" si="34"/>
        <v>235</v>
      </c>
      <c r="I76" s="533">
        <f>SUM(J76:P76)</f>
        <v>159</v>
      </c>
      <c r="J76" s="529">
        <v>52</v>
      </c>
      <c r="K76" s="529">
        <v>1</v>
      </c>
      <c r="L76" s="529">
        <v>106</v>
      </c>
      <c r="M76" s="529">
        <v>0</v>
      </c>
      <c r="N76" s="529"/>
      <c r="O76" s="529"/>
      <c r="P76" s="530">
        <v>0</v>
      </c>
      <c r="Q76" s="531">
        <v>76</v>
      </c>
      <c r="R76" s="534">
        <f t="shared" si="27"/>
        <v>182</v>
      </c>
      <c r="S76" s="539">
        <f t="shared" si="28"/>
        <v>33.33333333333333</v>
      </c>
      <c r="T76" s="536">
        <f t="shared" si="4"/>
        <v>0.676595744680851</v>
      </c>
      <c r="U76" s="537">
        <f t="shared" si="5"/>
        <v>106</v>
      </c>
      <c r="V76" s="537"/>
      <c r="W76" s="504">
        <f t="shared" si="30"/>
        <v>0</v>
      </c>
      <c r="X76" s="505">
        <f t="shared" si="6"/>
        <v>182</v>
      </c>
      <c r="Y76" s="505" t="str">
        <f t="shared" si="7"/>
        <v>Đ</v>
      </c>
      <c r="Z76" s="508">
        <f t="shared" si="8"/>
        <v>106</v>
      </c>
      <c r="AA76" s="508"/>
      <c r="AB76" s="560"/>
      <c r="AC76" s="513"/>
    </row>
    <row r="77" spans="1:29" ht="21.75" customHeight="1">
      <c r="A77" s="607" t="s">
        <v>445</v>
      </c>
      <c r="B77" s="437" t="s">
        <v>444</v>
      </c>
      <c r="C77" s="533">
        <f t="shared" si="23"/>
        <v>192</v>
      </c>
      <c r="D77" s="573">
        <v>135</v>
      </c>
      <c r="E77" s="529">
        <v>57</v>
      </c>
      <c r="F77" s="529">
        <v>0</v>
      </c>
      <c r="G77" s="572"/>
      <c r="H77" s="533">
        <f t="shared" si="34"/>
        <v>192</v>
      </c>
      <c r="I77" s="533">
        <f>SUM(J77:P77)</f>
        <v>126</v>
      </c>
      <c r="J77" s="529">
        <v>38</v>
      </c>
      <c r="K77" s="572"/>
      <c r="L77" s="529">
        <v>88</v>
      </c>
      <c r="M77" s="572"/>
      <c r="N77" s="572"/>
      <c r="O77" s="572"/>
      <c r="P77" s="572"/>
      <c r="Q77" s="531">
        <v>66</v>
      </c>
      <c r="R77" s="534">
        <f t="shared" si="27"/>
        <v>154</v>
      </c>
      <c r="S77" s="539">
        <f t="shared" si="28"/>
        <v>30.158730158730158</v>
      </c>
      <c r="T77" s="536">
        <f t="shared" si="4"/>
        <v>0.65625</v>
      </c>
      <c r="U77" s="537">
        <f t="shared" si="5"/>
        <v>88</v>
      </c>
      <c r="V77" s="537"/>
      <c r="W77" s="504">
        <f t="shared" si="30"/>
        <v>0</v>
      </c>
      <c r="X77" s="505">
        <f t="shared" si="6"/>
        <v>154</v>
      </c>
      <c r="Y77" s="505" t="str">
        <f t="shared" si="7"/>
        <v>Đ</v>
      </c>
      <c r="Z77" s="508">
        <f t="shared" si="8"/>
        <v>88</v>
      </c>
      <c r="AA77" s="508">
        <v>106</v>
      </c>
      <c r="AB77" s="560">
        <f t="shared" si="9"/>
        <v>-16.9811320754717</v>
      </c>
      <c r="AC77" s="513">
        <f t="shared" si="10"/>
        <v>-18</v>
      </c>
    </row>
    <row r="78" spans="1:29" ht="21.75" customHeight="1">
      <c r="A78" s="607" t="s">
        <v>557</v>
      </c>
      <c r="B78" s="528" t="s">
        <v>532</v>
      </c>
      <c r="C78" s="533">
        <f t="shared" si="23"/>
        <v>152</v>
      </c>
      <c r="D78" s="573">
        <v>109</v>
      </c>
      <c r="E78" s="529">
        <v>43</v>
      </c>
      <c r="F78" s="529">
        <v>0</v>
      </c>
      <c r="G78" s="538"/>
      <c r="H78" s="533">
        <f t="shared" si="34"/>
        <v>152</v>
      </c>
      <c r="I78" s="533">
        <f>SUM(J78:P78)</f>
        <v>94</v>
      </c>
      <c r="J78" s="529">
        <v>19</v>
      </c>
      <c r="K78" s="529">
        <v>0</v>
      </c>
      <c r="L78" s="529">
        <v>75</v>
      </c>
      <c r="M78" s="529"/>
      <c r="N78" s="529">
        <v>0</v>
      </c>
      <c r="O78" s="529"/>
      <c r="P78" s="530">
        <v>0</v>
      </c>
      <c r="Q78" s="531">
        <v>58</v>
      </c>
      <c r="R78" s="534">
        <f t="shared" si="27"/>
        <v>133</v>
      </c>
      <c r="S78" s="539">
        <f t="shared" si="28"/>
        <v>20.212765957446805</v>
      </c>
      <c r="T78" s="536">
        <f t="shared" si="4"/>
        <v>0.618421052631579</v>
      </c>
      <c r="U78" s="537">
        <f t="shared" si="5"/>
        <v>75</v>
      </c>
      <c r="V78" s="537"/>
      <c r="W78" s="504">
        <f t="shared" si="30"/>
        <v>0</v>
      </c>
      <c r="X78" s="505">
        <f t="shared" si="6"/>
        <v>133</v>
      </c>
      <c r="Y78" s="505" t="str">
        <f t="shared" si="7"/>
        <v>Đ</v>
      </c>
      <c r="Z78" s="508">
        <f t="shared" si="8"/>
        <v>75</v>
      </c>
      <c r="AA78" s="508">
        <v>112</v>
      </c>
      <c r="AB78" s="560">
        <f t="shared" si="9"/>
        <v>-33.035714285714285</v>
      </c>
      <c r="AC78" s="513">
        <f t="shared" si="10"/>
        <v>-37</v>
      </c>
    </row>
    <row r="79" spans="1:25" s="403" customFormat="1" ht="29.25" customHeight="1">
      <c r="A79" s="1036"/>
      <c r="B79" s="1036"/>
      <c r="C79" s="1036"/>
      <c r="D79" s="1036"/>
      <c r="E79" s="1036"/>
      <c r="F79" s="446"/>
      <c r="G79" s="390"/>
      <c r="H79" s="446"/>
      <c r="I79" s="390"/>
      <c r="J79" s="390"/>
      <c r="K79" s="390"/>
      <c r="L79" s="390"/>
      <c r="M79" s="390"/>
      <c r="N79" s="1034" t="str">
        <f>'Thong tin'!B8</f>
        <v>Trà Vinh, ngày 03 tháng12 năm 2019</v>
      </c>
      <c r="O79" s="1034"/>
      <c r="P79" s="1034"/>
      <c r="Q79" s="1034"/>
      <c r="R79" s="1034"/>
      <c r="S79" s="1034"/>
      <c r="T79" s="452"/>
      <c r="U79" s="452"/>
      <c r="V79" s="452"/>
      <c r="Y79" s="501"/>
    </row>
    <row r="80" spans="1:25" s="400" customFormat="1" ht="19.5" customHeight="1">
      <c r="A80" s="402"/>
      <c r="B80" s="1035" t="s">
        <v>4</v>
      </c>
      <c r="C80" s="1035"/>
      <c r="D80" s="1035"/>
      <c r="E80" s="1035"/>
      <c r="F80" s="401"/>
      <c r="G80" s="401"/>
      <c r="H80" s="401"/>
      <c r="I80" s="401"/>
      <c r="J80" s="401"/>
      <c r="K80" s="401"/>
      <c r="L80" s="401"/>
      <c r="M80" s="401"/>
      <c r="N80" s="1039" t="str">
        <f>'Thong tin'!B7</f>
        <v>PHÓ CỤC TRƯỞNG</v>
      </c>
      <c r="O80" s="1039"/>
      <c r="P80" s="1039"/>
      <c r="Q80" s="1039"/>
      <c r="R80" s="1039"/>
      <c r="S80" s="1039"/>
      <c r="T80" s="451"/>
      <c r="U80" s="451"/>
      <c r="V80" s="451"/>
      <c r="Y80" s="501"/>
    </row>
    <row r="81" spans="1:25" ht="18.75">
      <c r="A81" s="387"/>
      <c r="B81" s="389"/>
      <c r="C81" s="439"/>
      <c r="D81" s="439"/>
      <c r="E81" s="441"/>
      <c r="F81" s="441"/>
      <c r="G81" s="441"/>
      <c r="H81" s="441"/>
      <c r="I81" s="441"/>
      <c r="J81" s="441"/>
      <c r="K81" s="441"/>
      <c r="L81" s="441"/>
      <c r="M81" s="441"/>
      <c r="N81" s="441"/>
      <c r="O81" s="441"/>
      <c r="P81" s="441"/>
      <c r="Q81" s="441"/>
      <c r="R81" s="440"/>
      <c r="S81" s="440"/>
      <c r="T81" s="440"/>
      <c r="U81" s="440"/>
      <c r="V81" s="440"/>
      <c r="Y81" s="501"/>
    </row>
    <row r="82" spans="1:25" ht="18.75">
      <c r="A82" s="387"/>
      <c r="B82" s="387"/>
      <c r="C82" s="442"/>
      <c r="D82" s="442"/>
      <c r="E82" s="442"/>
      <c r="F82" s="442"/>
      <c r="G82" s="442"/>
      <c r="H82" s="442"/>
      <c r="I82" s="442"/>
      <c r="J82" s="442"/>
      <c r="K82" s="442"/>
      <c r="L82" s="442"/>
      <c r="M82" s="442"/>
      <c r="N82" s="442"/>
      <c r="O82" s="442"/>
      <c r="P82" s="442"/>
      <c r="Q82" s="442"/>
      <c r="R82" s="387"/>
      <c r="S82" s="387"/>
      <c r="T82" s="387"/>
      <c r="U82" s="387"/>
      <c r="V82" s="492"/>
      <c r="W82" s="505"/>
      <c r="Y82" s="501"/>
    </row>
    <row r="83" spans="1:22" ht="18.75">
      <c r="A83" s="387"/>
      <c r="B83" s="388"/>
      <c r="C83" s="388"/>
      <c r="D83" s="388"/>
      <c r="E83" s="388"/>
      <c r="F83" s="388"/>
      <c r="G83" s="388"/>
      <c r="H83" s="388"/>
      <c r="I83" s="388"/>
      <c r="J83" s="388"/>
      <c r="K83" s="388"/>
      <c r="L83" s="388"/>
      <c r="M83" s="388"/>
      <c r="N83" s="388"/>
      <c r="O83" s="388"/>
      <c r="P83" s="388"/>
      <c r="Q83" s="388"/>
      <c r="R83" s="388"/>
      <c r="S83" s="387"/>
      <c r="T83" s="387"/>
      <c r="U83" s="387"/>
      <c r="V83" s="387"/>
    </row>
    <row r="84" spans="1:22" ht="15.75" customHeight="1">
      <c r="A84" s="399"/>
      <c r="B84" s="387"/>
      <c r="C84" s="387"/>
      <c r="D84" s="388"/>
      <c r="E84" s="388"/>
      <c r="F84" s="388"/>
      <c r="G84" s="388"/>
      <c r="H84" s="388"/>
      <c r="I84" s="388"/>
      <c r="J84" s="388"/>
      <c r="K84" s="388"/>
      <c r="L84" s="388"/>
      <c r="M84" s="388"/>
      <c r="N84" s="388"/>
      <c r="O84" s="388"/>
      <c r="P84" s="388"/>
      <c r="Q84" s="388"/>
      <c r="R84" s="387"/>
      <c r="S84" s="387"/>
      <c r="T84" s="387"/>
      <c r="U84" s="387"/>
      <c r="V84" s="387"/>
    </row>
    <row r="85" spans="1:22" ht="15.75" customHeight="1">
      <c r="A85" s="387"/>
      <c r="B85" s="388"/>
      <c r="C85" s="388"/>
      <c r="D85" s="388"/>
      <c r="E85" s="388"/>
      <c r="F85" s="388"/>
      <c r="G85" s="388"/>
      <c r="H85" s="388"/>
      <c r="I85" s="388"/>
      <c r="J85" s="388"/>
      <c r="K85" s="388"/>
      <c r="L85" s="388"/>
      <c r="M85" s="388"/>
      <c r="N85" s="388"/>
      <c r="O85" s="388"/>
      <c r="P85" s="388"/>
      <c r="Q85" s="388"/>
      <c r="R85" s="387"/>
      <c r="S85" s="387"/>
      <c r="T85" s="387"/>
      <c r="U85" s="387"/>
      <c r="V85" s="387"/>
    </row>
    <row r="86" spans="1:22" ht="18.75">
      <c r="A86" s="389"/>
      <c r="B86" s="389"/>
      <c r="C86" s="389"/>
      <c r="D86" s="389"/>
      <c r="E86" s="389"/>
      <c r="F86" s="389"/>
      <c r="G86" s="389"/>
      <c r="H86" s="389"/>
      <c r="I86" s="389"/>
      <c r="J86" s="389"/>
      <c r="K86" s="389"/>
      <c r="L86" s="389"/>
      <c r="M86" s="389"/>
      <c r="N86" s="389"/>
      <c r="O86" s="389"/>
      <c r="P86" s="389"/>
      <c r="Q86" s="387"/>
      <c r="R86" s="387"/>
      <c r="S86" s="387"/>
      <c r="T86" s="387"/>
      <c r="U86" s="387"/>
      <c r="V86" s="387"/>
    </row>
    <row r="87" spans="1:22" ht="18.75">
      <c r="A87" s="387"/>
      <c r="B87" s="387"/>
      <c r="C87" s="387"/>
      <c r="D87" s="387"/>
      <c r="E87" s="387"/>
      <c r="F87" s="387"/>
      <c r="G87" s="387"/>
      <c r="H87" s="387"/>
      <c r="I87" s="387"/>
      <c r="J87" s="387"/>
      <c r="K87" s="387"/>
      <c r="L87" s="387"/>
      <c r="M87" s="387"/>
      <c r="N87" s="387"/>
      <c r="O87" s="387"/>
      <c r="P87" s="387"/>
      <c r="Q87" s="387"/>
      <c r="R87" s="387"/>
      <c r="S87" s="387"/>
      <c r="T87" s="387"/>
      <c r="U87" s="387"/>
      <c r="V87" s="387"/>
    </row>
    <row r="88" spans="1:22" ht="18.75">
      <c r="A88" s="387"/>
      <c r="B88" s="1038" t="str">
        <f>'Thong tin'!B5</f>
        <v>Nhan Quốc Hải</v>
      </c>
      <c r="C88" s="1038"/>
      <c r="D88" s="1038"/>
      <c r="E88" s="1038"/>
      <c r="F88" s="387"/>
      <c r="G88" s="387"/>
      <c r="H88" s="387"/>
      <c r="I88" s="387"/>
      <c r="J88" s="387"/>
      <c r="K88" s="387"/>
      <c r="L88" s="387"/>
      <c r="M88" s="387"/>
      <c r="N88" s="1038" t="str">
        <f>'Thong tin'!B6</f>
        <v>Nguyễn Minh Khiêm</v>
      </c>
      <c r="O88" s="1038"/>
      <c r="P88" s="1038"/>
      <c r="Q88" s="1038"/>
      <c r="R88" s="1038"/>
      <c r="S88" s="1038"/>
      <c r="T88" s="450"/>
      <c r="U88" s="450"/>
      <c r="V88" s="450"/>
    </row>
    <row r="89" spans="1:22" ht="18.75">
      <c r="A89" s="398"/>
      <c r="B89" s="398"/>
      <c r="C89" s="398"/>
      <c r="D89" s="398"/>
      <c r="E89" s="398"/>
      <c r="F89" s="398"/>
      <c r="G89" s="398"/>
      <c r="H89" s="398"/>
      <c r="I89" s="398"/>
      <c r="J89" s="398"/>
      <c r="K89" s="398"/>
      <c r="L89" s="398"/>
      <c r="M89" s="398"/>
      <c r="N89" s="398"/>
      <c r="O89" s="398"/>
      <c r="P89" s="398"/>
      <c r="Q89" s="398"/>
      <c r="R89" s="398"/>
      <c r="S89" s="398"/>
      <c r="T89" s="398"/>
      <c r="U89" s="398"/>
      <c r="V89" s="398"/>
    </row>
  </sheetData>
  <sheetProtection/>
  <mergeCells count="33">
    <mergeCell ref="B88:E88"/>
    <mergeCell ref="N80:S80"/>
    <mergeCell ref="N88:S88"/>
    <mergeCell ref="D8:D9"/>
    <mergeCell ref="A11:B11"/>
    <mergeCell ref="C6:E6"/>
    <mergeCell ref="A6:B9"/>
    <mergeCell ref="A10:B10"/>
    <mergeCell ref="U6:U9"/>
    <mergeCell ref="N79:S79"/>
    <mergeCell ref="J8:P8"/>
    <mergeCell ref="B80:E80"/>
    <mergeCell ref="A79:E79"/>
    <mergeCell ref="R6:R9"/>
    <mergeCell ref="I8:I9"/>
    <mergeCell ref="I7:P7"/>
    <mergeCell ref="S6:S9"/>
    <mergeCell ref="H6:Q6"/>
    <mergeCell ref="E1:O1"/>
    <mergeCell ref="E2:O2"/>
    <mergeCell ref="E3:O3"/>
    <mergeCell ref="F6:F9"/>
    <mergeCell ref="G6:G9"/>
    <mergeCell ref="T6:T9"/>
    <mergeCell ref="P2:S2"/>
    <mergeCell ref="P4:S4"/>
    <mergeCell ref="H7:H9"/>
    <mergeCell ref="A3:D3"/>
    <mergeCell ref="A2:D2"/>
    <mergeCell ref="E8:E9"/>
    <mergeCell ref="Q7:Q9"/>
    <mergeCell ref="D7:E7"/>
    <mergeCell ref="C7:C9"/>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16.xml><?xml version="1.0" encoding="utf-8"?>
<worksheet xmlns="http://schemas.openxmlformats.org/spreadsheetml/2006/main" xmlns:r="http://schemas.openxmlformats.org/officeDocument/2006/relationships">
  <sheetPr>
    <tabColor indexed="19"/>
  </sheetPr>
  <dimension ref="A1:AL88"/>
  <sheetViews>
    <sheetView showZeros="0" tabSelected="1" view="pageBreakPreview" zoomScale="80" zoomScaleNormal="85" zoomScaleSheetLayoutView="80" zoomScalePageLayoutView="0" workbookViewId="0" topLeftCell="A9">
      <pane xSplit="3" ySplit="2" topLeftCell="D56" activePane="bottomRight" state="frozen"/>
      <selection pane="topLeft" activeCell="A9" sqref="A9"/>
      <selection pane="topRight" activeCell="D9" sqref="D9"/>
      <selection pane="bottomLeft" activeCell="A11" sqref="A11"/>
      <selection pane="bottomRight" activeCell="Q60" sqref="Q60"/>
    </sheetView>
  </sheetViews>
  <sheetFormatPr defaultColWidth="9.00390625" defaultRowHeight="15.75"/>
  <cols>
    <col min="1" max="1" width="3.50390625" style="378" customWidth="1"/>
    <col min="2" max="2" width="12.00390625" style="378" customWidth="1"/>
    <col min="3" max="3" width="10.375" style="378" customWidth="1"/>
    <col min="4" max="4" width="10.00390625" style="378" customWidth="1"/>
    <col min="5" max="5" width="10.375" style="378" customWidth="1"/>
    <col min="6" max="6" width="9.50390625" style="378" customWidth="1"/>
    <col min="7" max="7" width="7.75390625" style="378" customWidth="1"/>
    <col min="8" max="8" width="9.125" style="378" customWidth="1"/>
    <col min="9" max="9" width="9.75390625" style="378" customWidth="1"/>
    <col min="10" max="10" width="10.75390625" style="378" customWidth="1"/>
    <col min="11" max="11" width="9.625" style="378" customWidth="1"/>
    <col min="12" max="12" width="5.875" style="378" customWidth="1"/>
    <col min="13" max="13" width="9.50390625" style="378" customWidth="1"/>
    <col min="14" max="14" width="8.125" style="378" customWidth="1"/>
    <col min="15" max="15" width="6.125" style="378" customWidth="1"/>
    <col min="16" max="16" width="4.875" style="378" customWidth="1"/>
    <col min="17" max="17" width="7.00390625" style="378" customWidth="1"/>
    <col min="18" max="18" width="9.75390625" style="378" customWidth="1"/>
    <col min="19" max="19" width="9.25390625" style="378" customWidth="1"/>
    <col min="20" max="20" width="6.125" style="378" customWidth="1"/>
    <col min="21" max="21" width="7.125" style="378" customWidth="1"/>
    <col min="22" max="22" width="7.875" style="378" customWidth="1"/>
    <col min="23" max="23" width="9.875" style="378" customWidth="1"/>
    <col min="24" max="24" width="10.875" style="378" bestFit="1" customWidth="1"/>
    <col min="25" max="25" width="9.00390625" style="378" customWidth="1"/>
    <col min="26" max="26" width="10.25390625" style="378" customWidth="1"/>
    <col min="27" max="28" width="9.00390625" style="378" customWidth="1"/>
    <col min="29" max="29" width="9.875" style="378" bestFit="1" customWidth="1"/>
    <col min="30" max="16384" width="9.00390625" style="378" customWidth="1"/>
  </cols>
  <sheetData>
    <row r="1" spans="1:22" ht="20.25" customHeight="1">
      <c r="A1" s="416" t="s">
        <v>28</v>
      </c>
      <c r="B1" s="416"/>
      <c r="C1" s="416"/>
      <c r="E1" s="1028" t="s">
        <v>66</v>
      </c>
      <c r="F1" s="1028"/>
      <c r="G1" s="1028"/>
      <c r="H1" s="1028"/>
      <c r="I1" s="1028"/>
      <c r="J1" s="1028"/>
      <c r="K1" s="1028"/>
      <c r="L1" s="1028"/>
      <c r="M1" s="1028"/>
      <c r="N1" s="1028"/>
      <c r="O1" s="1028"/>
      <c r="P1" s="1028"/>
      <c r="Q1" s="418" t="s">
        <v>424</v>
      </c>
      <c r="R1" s="414"/>
      <c r="S1" s="414"/>
      <c r="T1" s="414"/>
      <c r="U1" s="414"/>
      <c r="V1" s="414"/>
    </row>
    <row r="2" spans="1:22" ht="17.25" customHeight="1">
      <c r="A2" s="1048" t="s">
        <v>240</v>
      </c>
      <c r="B2" s="1048"/>
      <c r="C2" s="1048"/>
      <c r="D2" s="1048"/>
      <c r="E2" s="1029" t="s">
        <v>34</v>
      </c>
      <c r="F2" s="1029"/>
      <c r="G2" s="1029"/>
      <c r="H2" s="1029"/>
      <c r="I2" s="1029"/>
      <c r="J2" s="1029"/>
      <c r="K2" s="1029"/>
      <c r="L2" s="1029"/>
      <c r="M2" s="1029"/>
      <c r="N2" s="1029"/>
      <c r="O2" s="1029"/>
      <c r="P2" s="1029"/>
      <c r="Q2" s="1049" t="str">
        <f>'Thong tin'!B4</f>
        <v>CTHADS TRÀ VINH</v>
      </c>
      <c r="R2" s="1049"/>
      <c r="S2" s="1049"/>
      <c r="T2" s="1049"/>
      <c r="U2" s="515"/>
      <c r="V2" s="515"/>
    </row>
    <row r="3" spans="1:22" ht="18" customHeight="1">
      <c r="A3" s="1048" t="s">
        <v>241</v>
      </c>
      <c r="B3" s="1048"/>
      <c r="C3" s="1048"/>
      <c r="D3" s="1048"/>
      <c r="E3" s="1030" t="str">
        <f>'Thong tin'!B3</f>
        <v>02 tháng / năm 2020</v>
      </c>
      <c r="F3" s="1030"/>
      <c r="G3" s="1030"/>
      <c r="H3" s="1030"/>
      <c r="I3" s="1030"/>
      <c r="J3" s="1030"/>
      <c r="K3" s="1030"/>
      <c r="L3" s="1030"/>
      <c r="M3" s="1030"/>
      <c r="N3" s="1030"/>
      <c r="O3" s="1030"/>
      <c r="P3" s="1030"/>
      <c r="Q3" s="418" t="s">
        <v>358</v>
      </c>
      <c r="R3" s="417"/>
      <c r="S3" s="414"/>
      <c r="T3" s="414"/>
      <c r="U3" s="414"/>
      <c r="V3" s="414"/>
    </row>
    <row r="4" spans="1:22" ht="14.25" customHeight="1">
      <c r="A4" s="382" t="s">
        <v>120</v>
      </c>
      <c r="B4" s="416"/>
      <c r="C4" s="416"/>
      <c r="D4" s="416"/>
      <c r="E4" s="416"/>
      <c r="F4" s="416"/>
      <c r="G4" s="416"/>
      <c r="H4" s="416"/>
      <c r="I4" s="416"/>
      <c r="J4" s="416"/>
      <c r="K4" s="416"/>
      <c r="L4" s="416"/>
      <c r="M4" s="416"/>
      <c r="N4" s="416"/>
      <c r="O4" s="415"/>
      <c r="P4" s="415"/>
      <c r="Q4" s="1050" t="s">
        <v>300</v>
      </c>
      <c r="R4" s="1050"/>
      <c r="S4" s="1050"/>
      <c r="T4" s="1050"/>
      <c r="U4" s="516"/>
      <c r="V4" s="516"/>
    </row>
    <row r="5" spans="2:22" ht="21.75" customHeight="1">
      <c r="B5" s="21"/>
      <c r="C5" s="21"/>
      <c r="Q5" s="1056" t="s">
        <v>425</v>
      </c>
      <c r="R5" s="1056"/>
      <c r="S5" s="1056"/>
      <c r="T5" s="1056"/>
      <c r="U5" s="514"/>
      <c r="V5" s="514"/>
    </row>
    <row r="6" spans="1:38" ht="18.75" customHeight="1">
      <c r="A6" s="1053" t="s">
        <v>57</v>
      </c>
      <c r="B6" s="1053"/>
      <c r="C6" s="1051" t="s">
        <v>121</v>
      </c>
      <c r="D6" s="1051"/>
      <c r="E6" s="1051"/>
      <c r="F6" s="1052" t="s">
        <v>101</v>
      </c>
      <c r="G6" s="1052" t="s">
        <v>122</v>
      </c>
      <c r="H6" s="1057" t="s">
        <v>102</v>
      </c>
      <c r="I6" s="1057"/>
      <c r="J6" s="1057"/>
      <c r="K6" s="1057"/>
      <c r="L6" s="1057"/>
      <c r="M6" s="1057"/>
      <c r="N6" s="1057"/>
      <c r="O6" s="1057"/>
      <c r="P6" s="1057"/>
      <c r="Q6" s="1057"/>
      <c r="R6" s="1057"/>
      <c r="S6" s="1051" t="s">
        <v>245</v>
      </c>
      <c r="T6" s="1051" t="s">
        <v>507</v>
      </c>
      <c r="U6" s="1051" t="s">
        <v>524</v>
      </c>
      <c r="V6" s="521"/>
      <c r="W6" s="381"/>
      <c r="X6" s="381"/>
      <c r="Y6" s="381"/>
      <c r="Z6" s="381"/>
      <c r="AA6" s="381"/>
      <c r="AB6" s="381"/>
      <c r="AC6" s="381"/>
      <c r="AD6" s="381"/>
      <c r="AE6" s="381"/>
      <c r="AF6" s="381"/>
      <c r="AG6" s="381"/>
      <c r="AH6" s="381"/>
      <c r="AI6" s="381"/>
      <c r="AJ6" s="381"/>
      <c r="AK6" s="381"/>
      <c r="AL6" s="381"/>
    </row>
    <row r="7" spans="1:38" s="413" customFormat="1" ht="21" customHeight="1">
      <c r="A7" s="1053"/>
      <c r="B7" s="1053"/>
      <c r="C7" s="1051" t="s">
        <v>42</v>
      </c>
      <c r="D7" s="1051" t="s">
        <v>7</v>
      </c>
      <c r="E7" s="1051"/>
      <c r="F7" s="1052"/>
      <c r="G7" s="1052"/>
      <c r="H7" s="1052" t="s">
        <v>102</v>
      </c>
      <c r="I7" s="1051" t="s">
        <v>103</v>
      </c>
      <c r="J7" s="1051"/>
      <c r="K7" s="1051"/>
      <c r="L7" s="1051"/>
      <c r="M7" s="1051"/>
      <c r="N7" s="1051"/>
      <c r="O7" s="1051"/>
      <c r="P7" s="1051"/>
      <c r="Q7" s="1051"/>
      <c r="R7" s="1052" t="s">
        <v>123</v>
      </c>
      <c r="S7" s="1051"/>
      <c r="T7" s="1051"/>
      <c r="U7" s="1051"/>
      <c r="V7" s="521"/>
      <c r="W7" s="414"/>
      <c r="X7" s="414"/>
      <c r="Y7" s="414"/>
      <c r="Z7" s="414"/>
      <c r="AA7" s="414"/>
      <c r="AB7" s="414"/>
      <c r="AC7" s="414"/>
      <c r="AD7" s="414"/>
      <c r="AE7" s="414"/>
      <c r="AF7" s="414"/>
      <c r="AG7" s="414"/>
      <c r="AH7" s="414"/>
      <c r="AI7" s="414"/>
      <c r="AJ7" s="414"/>
      <c r="AK7" s="414"/>
      <c r="AL7" s="414"/>
    </row>
    <row r="8" spans="1:38" ht="21.75" customHeight="1">
      <c r="A8" s="1053"/>
      <c r="B8" s="1053"/>
      <c r="C8" s="1051"/>
      <c r="D8" s="1051" t="s">
        <v>124</v>
      </c>
      <c r="E8" s="1051" t="s">
        <v>125</v>
      </c>
      <c r="F8" s="1052"/>
      <c r="G8" s="1052"/>
      <c r="H8" s="1052"/>
      <c r="I8" s="1052" t="s">
        <v>506</v>
      </c>
      <c r="J8" s="1051" t="s">
        <v>7</v>
      </c>
      <c r="K8" s="1051"/>
      <c r="L8" s="1051"/>
      <c r="M8" s="1051"/>
      <c r="N8" s="1051"/>
      <c r="O8" s="1051"/>
      <c r="P8" s="1051"/>
      <c r="Q8" s="1051"/>
      <c r="R8" s="1052"/>
      <c r="S8" s="1051"/>
      <c r="T8" s="1051"/>
      <c r="U8" s="1051"/>
      <c r="V8" s="521"/>
      <c r="W8" s="381"/>
      <c r="X8" s="381"/>
      <c r="Y8" s="381"/>
      <c r="Z8" s="381"/>
      <c r="AA8" s="381"/>
      <c r="AB8" s="381"/>
      <c r="AC8" s="381"/>
      <c r="AD8" s="381"/>
      <c r="AE8" s="381"/>
      <c r="AF8" s="381"/>
      <c r="AG8" s="381"/>
      <c r="AH8" s="381"/>
      <c r="AI8" s="381"/>
      <c r="AJ8" s="381"/>
      <c r="AK8" s="381"/>
      <c r="AL8" s="381"/>
    </row>
    <row r="9" spans="1:38" ht="84" customHeight="1">
      <c r="A9" s="1053"/>
      <c r="B9" s="1053"/>
      <c r="C9" s="1051"/>
      <c r="D9" s="1051"/>
      <c r="E9" s="1051"/>
      <c r="F9" s="1052"/>
      <c r="G9" s="1052"/>
      <c r="H9" s="1052"/>
      <c r="I9" s="1052"/>
      <c r="J9" s="463" t="s">
        <v>126</v>
      </c>
      <c r="K9" s="463" t="s">
        <v>127</v>
      </c>
      <c r="L9" s="463" t="s">
        <v>119</v>
      </c>
      <c r="M9" s="464" t="s">
        <v>105</v>
      </c>
      <c r="N9" s="464" t="s">
        <v>128</v>
      </c>
      <c r="O9" s="464" t="s">
        <v>108</v>
      </c>
      <c r="P9" s="464" t="s">
        <v>246</v>
      </c>
      <c r="Q9" s="464" t="s">
        <v>111</v>
      </c>
      <c r="R9" s="1052"/>
      <c r="S9" s="1051"/>
      <c r="T9" s="1051"/>
      <c r="U9" s="1051"/>
      <c r="V9" s="582"/>
      <c r="W9" s="381"/>
      <c r="X9" s="381"/>
      <c r="Y9" s="381"/>
      <c r="Z9" s="506" t="s">
        <v>570</v>
      </c>
      <c r="AA9" s="506" t="s">
        <v>540</v>
      </c>
      <c r="AB9" s="507" t="s">
        <v>541</v>
      </c>
      <c r="AC9" s="563" t="s">
        <v>545</v>
      </c>
      <c r="AD9" s="381"/>
      <c r="AE9" s="381"/>
      <c r="AF9" s="381"/>
      <c r="AG9" s="381"/>
      <c r="AH9" s="381"/>
      <c r="AI9" s="381"/>
      <c r="AJ9" s="381"/>
      <c r="AK9" s="381"/>
      <c r="AL9" s="381"/>
    </row>
    <row r="10" spans="1:29" ht="17.25" customHeight="1">
      <c r="A10" s="1054" t="s">
        <v>6</v>
      </c>
      <c r="B10" s="1055"/>
      <c r="C10" s="465">
        <v>1</v>
      </c>
      <c r="D10" s="465">
        <v>2</v>
      </c>
      <c r="E10" s="465">
        <v>3</v>
      </c>
      <c r="F10" s="465">
        <v>4</v>
      </c>
      <c r="G10" s="465">
        <v>5</v>
      </c>
      <c r="H10" s="465">
        <v>6</v>
      </c>
      <c r="I10" s="465">
        <v>7</v>
      </c>
      <c r="J10" s="465">
        <v>8</v>
      </c>
      <c r="K10" s="465">
        <v>9</v>
      </c>
      <c r="L10" s="465" t="s">
        <v>83</v>
      </c>
      <c r="M10" s="465" t="s">
        <v>84</v>
      </c>
      <c r="N10" s="465" t="s">
        <v>85</v>
      </c>
      <c r="O10" s="465" t="s">
        <v>86</v>
      </c>
      <c r="P10" s="465" t="s">
        <v>87</v>
      </c>
      <c r="Q10" s="465" t="s">
        <v>248</v>
      </c>
      <c r="R10" s="465" t="s">
        <v>513</v>
      </c>
      <c r="S10" s="465" t="s">
        <v>512</v>
      </c>
      <c r="T10" s="466" t="s">
        <v>511</v>
      </c>
      <c r="U10" s="465" t="s">
        <v>526</v>
      </c>
      <c r="V10" s="465" t="s">
        <v>527</v>
      </c>
      <c r="W10" s="465" t="s">
        <v>528</v>
      </c>
      <c r="X10" s="465" t="s">
        <v>529</v>
      </c>
      <c r="Y10" s="465" t="s">
        <v>530</v>
      </c>
      <c r="Z10" s="465" t="s">
        <v>543</v>
      </c>
      <c r="AA10" s="465" t="s">
        <v>544</v>
      </c>
      <c r="AB10" s="465" t="s">
        <v>546</v>
      </c>
      <c r="AC10" s="465" t="s">
        <v>569</v>
      </c>
    </row>
    <row r="11" spans="1:29" ht="19.5" customHeight="1">
      <c r="A11" s="1046" t="s">
        <v>30</v>
      </c>
      <c r="B11" s="1046"/>
      <c r="C11" s="495">
        <f aca="true" t="shared" si="0" ref="C11:S11">+C12+C22</f>
        <v>883531800</v>
      </c>
      <c r="D11" s="495">
        <f t="shared" si="0"/>
        <v>706925899</v>
      </c>
      <c r="E11" s="495">
        <f t="shared" si="0"/>
        <v>176605901</v>
      </c>
      <c r="F11" s="495">
        <f t="shared" si="0"/>
        <v>1212918</v>
      </c>
      <c r="G11" s="495">
        <f t="shared" si="0"/>
        <v>56528</v>
      </c>
      <c r="H11" s="495">
        <f t="shared" si="0"/>
        <v>882318882</v>
      </c>
      <c r="I11" s="495">
        <f t="shared" si="0"/>
        <v>556716725</v>
      </c>
      <c r="J11" s="495">
        <f t="shared" si="0"/>
        <v>28781280</v>
      </c>
      <c r="K11" s="495">
        <f t="shared" si="0"/>
        <v>3812689</v>
      </c>
      <c r="L11" s="495">
        <f t="shared" si="0"/>
        <v>0</v>
      </c>
      <c r="M11" s="495">
        <f t="shared" si="0"/>
        <v>488671412</v>
      </c>
      <c r="N11" s="495">
        <f t="shared" si="0"/>
        <v>2502735</v>
      </c>
      <c r="O11" s="495">
        <f t="shared" si="0"/>
        <v>56600</v>
      </c>
      <c r="P11" s="495">
        <f t="shared" si="0"/>
        <v>0</v>
      </c>
      <c r="Q11" s="495">
        <f t="shared" si="0"/>
        <v>32892009</v>
      </c>
      <c r="R11" s="495">
        <f t="shared" si="0"/>
        <v>325602157</v>
      </c>
      <c r="S11" s="495">
        <f t="shared" si="0"/>
        <v>849724913</v>
      </c>
      <c r="T11" s="574">
        <f aca="true" t="shared" si="1" ref="T11:T43">(((J11+K11+L11))/I11)*100</f>
        <v>5.854677529222784</v>
      </c>
      <c r="U11" s="502">
        <f>I11/H11</f>
        <v>0.6309699773601808</v>
      </c>
      <c r="V11" s="519">
        <f>+V12+V22</f>
        <v>0</v>
      </c>
      <c r="W11" s="561">
        <f aca="true" t="shared" si="2" ref="W11:W24">+C11-(F11+G11+H11)</f>
        <v>-56528</v>
      </c>
      <c r="X11" s="447">
        <f aca="true" t="shared" si="3" ref="X11:X43">+M11+N11+O11+P11+Q11+R11</f>
        <v>849724913</v>
      </c>
      <c r="Y11" s="562" t="str">
        <f aca="true" t="shared" si="4" ref="Y11:Y43">+IF(X11=S11,"Đ","S")</f>
        <v>Đ</v>
      </c>
      <c r="Z11" s="510">
        <f aca="true" t="shared" si="5" ref="Z11:Z43">+M11+N11+O11+P11+Q11</f>
        <v>524122756</v>
      </c>
      <c r="AA11" s="510" t="e">
        <f>+AA12+AA22</f>
        <v>#REF!</v>
      </c>
      <c r="AB11" s="512" t="e">
        <f>(((Z11)-AA11)/AA11)*100</f>
        <v>#REF!</v>
      </c>
      <c r="AC11" s="511" t="e">
        <f>+Z11-AA11</f>
        <v>#REF!</v>
      </c>
    </row>
    <row r="12" spans="1:29" ht="19.5" customHeight="1">
      <c r="A12" s="575" t="s">
        <v>0</v>
      </c>
      <c r="B12" s="576" t="s">
        <v>505</v>
      </c>
      <c r="C12" s="495">
        <f aca="true" t="shared" si="6" ref="C12:K12">SUM(C13:C21)</f>
        <v>123216880</v>
      </c>
      <c r="D12" s="495">
        <f t="shared" si="6"/>
        <v>100272090</v>
      </c>
      <c r="E12" s="495">
        <f t="shared" si="6"/>
        <v>22944790</v>
      </c>
      <c r="F12" s="495">
        <f t="shared" si="6"/>
        <v>300</v>
      </c>
      <c r="G12" s="495">
        <f t="shared" si="6"/>
        <v>28264</v>
      </c>
      <c r="H12" s="495">
        <f t="shared" si="6"/>
        <v>123216580</v>
      </c>
      <c r="I12" s="495">
        <f t="shared" si="6"/>
        <v>72455032</v>
      </c>
      <c r="J12" s="495">
        <f t="shared" si="6"/>
        <v>3411560</v>
      </c>
      <c r="K12" s="495">
        <f t="shared" si="6"/>
        <v>438005</v>
      </c>
      <c r="L12" s="495"/>
      <c r="M12" s="495">
        <f aca="true" t="shared" si="7" ref="M12:S12">SUM(M13:M21)</f>
        <v>67740146</v>
      </c>
      <c r="N12" s="495">
        <f t="shared" si="7"/>
        <v>633931</v>
      </c>
      <c r="O12" s="495">
        <f t="shared" si="7"/>
        <v>23750</v>
      </c>
      <c r="P12" s="495">
        <f t="shared" si="7"/>
        <v>0</v>
      </c>
      <c r="Q12" s="495">
        <f t="shared" si="7"/>
        <v>207640</v>
      </c>
      <c r="R12" s="495">
        <f t="shared" si="7"/>
        <v>50761548</v>
      </c>
      <c r="S12" s="495">
        <f t="shared" si="7"/>
        <v>119367015</v>
      </c>
      <c r="T12" s="574">
        <f t="shared" si="1"/>
        <v>5.3130402316294605</v>
      </c>
      <c r="U12" s="502">
        <f aca="true" t="shared" si="8" ref="U12:U78">I12/H12</f>
        <v>0.5880298901332921</v>
      </c>
      <c r="V12" s="519">
        <f>SUM(V13:V21)</f>
        <v>0</v>
      </c>
      <c r="W12" s="561">
        <f t="shared" si="2"/>
        <v>-28264</v>
      </c>
      <c r="X12" s="447">
        <f t="shared" si="3"/>
        <v>119367015</v>
      </c>
      <c r="Y12" s="562" t="str">
        <f t="shared" si="4"/>
        <v>Đ</v>
      </c>
      <c r="Z12" s="510">
        <f t="shared" si="5"/>
        <v>68605467</v>
      </c>
      <c r="AA12" s="510">
        <v>40855594</v>
      </c>
      <c r="AB12" s="512">
        <f aca="true" t="shared" si="9" ref="AB12:AB78">(((Z12)-AA12)/AA12)*100</f>
        <v>67.92184443579501</v>
      </c>
      <c r="AC12" s="511">
        <f aca="true" t="shared" si="10" ref="AC12:AC78">+Z12-AA12</f>
        <v>27749873</v>
      </c>
    </row>
    <row r="13" spans="1:29" ht="19.5" customHeight="1">
      <c r="A13" s="500" t="s">
        <v>43</v>
      </c>
      <c r="B13" s="527" t="s">
        <v>431</v>
      </c>
      <c r="C13" s="495">
        <f aca="true" t="shared" si="11" ref="C13:C21">+D13+E13</f>
        <v>27203</v>
      </c>
      <c r="D13" s="520"/>
      <c r="E13" s="520">
        <v>27203</v>
      </c>
      <c r="F13" s="520"/>
      <c r="G13" s="520"/>
      <c r="H13" s="495">
        <f aca="true" t="shared" si="12" ref="H13:H21">SUM(I13,R13)</f>
        <v>27203</v>
      </c>
      <c r="I13" s="495">
        <f aca="true" t="shared" si="13" ref="I13:I21">SUM(J13:Q13)</f>
        <v>27203</v>
      </c>
      <c r="J13" s="520">
        <v>27203</v>
      </c>
      <c r="K13" s="520"/>
      <c r="L13" s="520"/>
      <c r="M13" s="520"/>
      <c r="N13" s="520"/>
      <c r="O13" s="520"/>
      <c r="P13" s="520"/>
      <c r="Q13" s="520"/>
      <c r="R13" s="520"/>
      <c r="S13" s="577">
        <f aca="true" t="shared" si="14" ref="S13:S21">SUM(M13:R13)</f>
        <v>0</v>
      </c>
      <c r="T13" s="497">
        <f t="shared" si="1"/>
        <v>100</v>
      </c>
      <c r="U13" s="502">
        <f t="shared" si="8"/>
        <v>1</v>
      </c>
      <c r="V13" s="467"/>
      <c r="W13" s="561">
        <f t="shared" si="2"/>
        <v>0</v>
      </c>
      <c r="X13" s="447">
        <f t="shared" si="3"/>
        <v>0</v>
      </c>
      <c r="Y13" s="562" t="str">
        <f t="shared" si="4"/>
        <v>Đ</v>
      </c>
      <c r="Z13" s="511">
        <f t="shared" si="5"/>
        <v>0</v>
      </c>
      <c r="AA13" s="510"/>
      <c r="AB13" s="512" t="e">
        <f t="shared" si="9"/>
        <v>#DIV/0!</v>
      </c>
      <c r="AC13" s="511">
        <f t="shared" si="10"/>
        <v>0</v>
      </c>
    </row>
    <row r="14" spans="1:29" ht="19.5" customHeight="1">
      <c r="A14" s="500" t="s">
        <v>44</v>
      </c>
      <c r="B14" s="527" t="s">
        <v>504</v>
      </c>
      <c r="C14" s="495">
        <f t="shared" si="11"/>
        <v>3100</v>
      </c>
      <c r="D14" s="520"/>
      <c r="E14" s="520">
        <v>3100</v>
      </c>
      <c r="F14" s="520"/>
      <c r="G14" s="520"/>
      <c r="H14" s="495">
        <f t="shared" si="12"/>
        <v>3100</v>
      </c>
      <c r="I14" s="495">
        <f t="shared" si="13"/>
        <v>3100</v>
      </c>
      <c r="J14" s="520">
        <v>3100</v>
      </c>
      <c r="K14" s="520"/>
      <c r="L14" s="520"/>
      <c r="M14" s="520"/>
      <c r="N14" s="520"/>
      <c r="O14" s="520"/>
      <c r="P14" s="520"/>
      <c r="Q14" s="520"/>
      <c r="R14" s="520"/>
      <c r="S14" s="577">
        <f t="shared" si="14"/>
        <v>0</v>
      </c>
      <c r="T14" s="497">
        <f t="shared" si="1"/>
        <v>100</v>
      </c>
      <c r="U14" s="502">
        <f t="shared" si="8"/>
        <v>1</v>
      </c>
      <c r="V14" s="467"/>
      <c r="W14" s="561">
        <f t="shared" si="2"/>
        <v>0</v>
      </c>
      <c r="X14" s="447">
        <f t="shared" si="3"/>
        <v>0</v>
      </c>
      <c r="Y14" s="562" t="str">
        <f t="shared" si="4"/>
        <v>Đ</v>
      </c>
      <c r="Z14" s="511">
        <f t="shared" si="5"/>
        <v>0</v>
      </c>
      <c r="AA14" s="510"/>
      <c r="AB14" s="512" t="e">
        <f t="shared" si="9"/>
        <v>#DIV/0!</v>
      </c>
      <c r="AC14" s="511">
        <f t="shared" si="10"/>
        <v>0</v>
      </c>
    </row>
    <row r="15" spans="1:29" ht="19.5" customHeight="1">
      <c r="A15" s="500" t="s">
        <v>49</v>
      </c>
      <c r="B15" s="527" t="s">
        <v>503</v>
      </c>
      <c r="C15" s="495">
        <f t="shared" si="11"/>
        <v>22201876</v>
      </c>
      <c r="D15" s="520">
        <v>22173142</v>
      </c>
      <c r="E15" s="520">
        <v>28734</v>
      </c>
      <c r="F15" s="520">
        <v>300</v>
      </c>
      <c r="G15" s="520"/>
      <c r="H15" s="495">
        <f t="shared" si="12"/>
        <v>22201576</v>
      </c>
      <c r="I15" s="495">
        <f t="shared" si="13"/>
        <v>17423793</v>
      </c>
      <c r="J15" s="520">
        <v>81463</v>
      </c>
      <c r="K15" s="520"/>
      <c r="L15" s="520"/>
      <c r="M15" s="520">
        <v>16854157</v>
      </c>
      <c r="N15" s="520">
        <v>406560</v>
      </c>
      <c r="O15" s="520">
        <v>23750</v>
      </c>
      <c r="P15" s="520"/>
      <c r="Q15" s="520">
        <v>57863</v>
      </c>
      <c r="R15" s="520">
        <v>4777783</v>
      </c>
      <c r="S15" s="577">
        <f t="shared" si="14"/>
        <v>22120113</v>
      </c>
      <c r="T15" s="497">
        <f t="shared" si="1"/>
        <v>0.46753884185837147</v>
      </c>
      <c r="U15" s="502">
        <f t="shared" si="8"/>
        <v>0.7847998268231048</v>
      </c>
      <c r="V15" s="467"/>
      <c r="W15" s="561">
        <f t="shared" si="2"/>
        <v>0</v>
      </c>
      <c r="X15" s="447">
        <f t="shared" si="3"/>
        <v>22120113</v>
      </c>
      <c r="Y15" s="562" t="str">
        <f t="shared" si="4"/>
        <v>Đ</v>
      </c>
      <c r="Z15" s="511">
        <f t="shared" si="5"/>
        <v>17342330</v>
      </c>
      <c r="AA15" s="511">
        <v>650489</v>
      </c>
      <c r="AB15" s="512">
        <f t="shared" si="9"/>
        <v>2566.045083006784</v>
      </c>
      <c r="AC15" s="511">
        <f t="shared" si="10"/>
        <v>16691841</v>
      </c>
    </row>
    <row r="16" spans="1:29" ht="19.5" customHeight="1">
      <c r="A16" s="500" t="s">
        <v>58</v>
      </c>
      <c r="B16" s="527" t="s">
        <v>502</v>
      </c>
      <c r="C16" s="495">
        <f t="shared" si="11"/>
        <v>33748359</v>
      </c>
      <c r="D16" s="520">
        <v>33573012</v>
      </c>
      <c r="E16" s="520">
        <v>175347</v>
      </c>
      <c r="F16" s="520"/>
      <c r="G16" s="520"/>
      <c r="H16" s="495">
        <f t="shared" si="12"/>
        <v>33748359</v>
      </c>
      <c r="I16" s="495">
        <f t="shared" si="13"/>
        <v>15581973</v>
      </c>
      <c r="J16" s="520">
        <v>154686</v>
      </c>
      <c r="K16" s="520"/>
      <c r="L16" s="520"/>
      <c r="M16" s="520">
        <v>15427287</v>
      </c>
      <c r="N16" s="520"/>
      <c r="O16" s="520"/>
      <c r="P16" s="520"/>
      <c r="Q16" s="520"/>
      <c r="R16" s="520">
        <v>18166386</v>
      </c>
      <c r="S16" s="577">
        <f t="shared" si="14"/>
        <v>33593673</v>
      </c>
      <c r="T16" s="497">
        <f t="shared" si="1"/>
        <v>0.9927240921287696</v>
      </c>
      <c r="U16" s="502">
        <f t="shared" si="8"/>
        <v>0.46171053828128356</v>
      </c>
      <c r="V16" s="467"/>
      <c r="W16" s="561">
        <f t="shared" si="2"/>
        <v>0</v>
      </c>
      <c r="X16" s="447">
        <f t="shared" si="3"/>
        <v>33593673</v>
      </c>
      <c r="Y16" s="562" t="str">
        <f t="shared" si="4"/>
        <v>Đ</v>
      </c>
      <c r="Z16" s="511">
        <f t="shared" si="5"/>
        <v>15427287</v>
      </c>
      <c r="AA16" s="511">
        <v>11433247</v>
      </c>
      <c r="AB16" s="512">
        <f t="shared" si="9"/>
        <v>34.93355824465264</v>
      </c>
      <c r="AC16" s="511">
        <f t="shared" si="10"/>
        <v>3994040</v>
      </c>
    </row>
    <row r="17" spans="1:29" ht="19.5" customHeight="1">
      <c r="A17" s="500" t="s">
        <v>59</v>
      </c>
      <c r="B17" s="584" t="s">
        <v>501</v>
      </c>
      <c r="C17" s="495">
        <f t="shared" si="11"/>
        <v>13852220</v>
      </c>
      <c r="D17" s="520">
        <v>12021685</v>
      </c>
      <c r="E17" s="520">
        <v>1830535</v>
      </c>
      <c r="F17" s="520"/>
      <c r="G17" s="520"/>
      <c r="H17" s="495">
        <f t="shared" si="12"/>
        <v>13852220</v>
      </c>
      <c r="I17" s="495">
        <f t="shared" si="13"/>
        <v>3499331</v>
      </c>
      <c r="J17" s="520">
        <v>2835525</v>
      </c>
      <c r="K17" s="520">
        <v>433433</v>
      </c>
      <c r="L17" s="520"/>
      <c r="M17" s="520">
        <v>112713</v>
      </c>
      <c r="N17" s="520"/>
      <c r="O17" s="520"/>
      <c r="P17" s="520"/>
      <c r="Q17" s="520">
        <v>117660</v>
      </c>
      <c r="R17" s="520">
        <v>10352889</v>
      </c>
      <c r="S17" s="577">
        <f t="shared" si="14"/>
        <v>10583262</v>
      </c>
      <c r="T17" s="497">
        <f t="shared" si="1"/>
        <v>93.41665592651852</v>
      </c>
      <c r="U17" s="502">
        <f t="shared" si="8"/>
        <v>0.25261878601408294</v>
      </c>
      <c r="V17" s="467"/>
      <c r="W17" s="561">
        <f t="shared" si="2"/>
        <v>0</v>
      </c>
      <c r="X17" s="447">
        <f t="shared" si="3"/>
        <v>10583262</v>
      </c>
      <c r="Y17" s="562" t="str">
        <f t="shared" si="4"/>
        <v>Đ</v>
      </c>
      <c r="Z17" s="511">
        <f t="shared" si="5"/>
        <v>230373</v>
      </c>
      <c r="AA17" s="511">
        <v>8026808</v>
      </c>
      <c r="AB17" s="512">
        <f t="shared" si="9"/>
        <v>-97.12995502072555</v>
      </c>
      <c r="AC17" s="511">
        <f t="shared" si="10"/>
        <v>-7796435</v>
      </c>
    </row>
    <row r="18" spans="1:29" ht="19.5" customHeight="1">
      <c r="A18" s="500" t="s">
        <v>60</v>
      </c>
      <c r="B18" s="527" t="s">
        <v>500</v>
      </c>
      <c r="C18" s="495">
        <f t="shared" si="11"/>
        <v>15830913</v>
      </c>
      <c r="D18" s="520">
        <f>15804443+2486</f>
        <v>15806929</v>
      </c>
      <c r="E18" s="520">
        <v>23984</v>
      </c>
      <c r="F18" s="520"/>
      <c r="G18" s="520"/>
      <c r="H18" s="495">
        <f t="shared" si="12"/>
        <v>15830913</v>
      </c>
      <c r="I18" s="495">
        <f t="shared" si="13"/>
        <v>3359929</v>
      </c>
      <c r="J18" s="520">
        <f>89580+2486</f>
        <v>92066</v>
      </c>
      <c r="K18" s="520">
        <v>4572</v>
      </c>
      <c r="L18" s="520"/>
      <c r="M18" s="520">
        <v>3035920</v>
      </c>
      <c r="N18" s="520">
        <v>227371</v>
      </c>
      <c r="O18" s="520"/>
      <c r="P18" s="520"/>
      <c r="Q18" s="520"/>
      <c r="R18" s="520">
        <v>12470984</v>
      </c>
      <c r="S18" s="577">
        <f t="shared" si="14"/>
        <v>15734275</v>
      </c>
      <c r="T18" s="497">
        <f t="shared" si="1"/>
        <v>2.8761917290514174</v>
      </c>
      <c r="U18" s="502">
        <f t="shared" si="8"/>
        <v>0.21223848555039118</v>
      </c>
      <c r="V18" s="467"/>
      <c r="W18" s="561">
        <f t="shared" si="2"/>
        <v>0</v>
      </c>
      <c r="X18" s="447">
        <f t="shared" si="3"/>
        <v>15734275</v>
      </c>
      <c r="Y18" s="562" t="str">
        <f t="shared" si="4"/>
        <v>Đ</v>
      </c>
      <c r="Z18" s="511">
        <f t="shared" si="5"/>
        <v>3263291</v>
      </c>
      <c r="AA18" s="511">
        <v>11921593</v>
      </c>
      <c r="AB18" s="512">
        <f t="shared" si="9"/>
        <v>-72.62705579698955</v>
      </c>
      <c r="AC18" s="511">
        <f t="shared" si="10"/>
        <v>-8658302</v>
      </c>
    </row>
    <row r="19" spans="1:29" ht="19.5" customHeight="1">
      <c r="A19" s="500" t="s">
        <v>61</v>
      </c>
      <c r="B19" s="527" t="s">
        <v>567</v>
      </c>
      <c r="C19" s="495">
        <f t="shared" si="11"/>
        <v>31163947</v>
      </c>
      <c r="D19" s="520">
        <v>10326546</v>
      </c>
      <c r="E19" s="520">
        <v>20837401</v>
      </c>
      <c r="F19" s="520"/>
      <c r="G19" s="520">
        <v>28264</v>
      </c>
      <c r="H19" s="495">
        <f t="shared" si="12"/>
        <v>31163947</v>
      </c>
      <c r="I19" s="495">
        <f t="shared" si="13"/>
        <v>29696596</v>
      </c>
      <c r="J19" s="520">
        <v>36463</v>
      </c>
      <c r="K19" s="520"/>
      <c r="L19" s="520"/>
      <c r="M19" s="520">
        <v>29628016</v>
      </c>
      <c r="N19" s="520"/>
      <c r="O19" s="520"/>
      <c r="P19" s="520"/>
      <c r="Q19" s="520">
        <v>32117</v>
      </c>
      <c r="R19" s="520">
        <v>1467351</v>
      </c>
      <c r="S19" s="577">
        <f t="shared" si="14"/>
        <v>31127484</v>
      </c>
      <c r="T19" s="497">
        <f t="shared" si="1"/>
        <v>0.12278511651638457</v>
      </c>
      <c r="U19" s="502">
        <f t="shared" si="8"/>
        <v>0.9529151105282011</v>
      </c>
      <c r="V19" s="467"/>
      <c r="W19" s="561">
        <f t="shared" si="2"/>
        <v>-28264</v>
      </c>
      <c r="X19" s="447">
        <f t="shared" si="3"/>
        <v>31127484</v>
      </c>
      <c r="Y19" s="562" t="str">
        <f t="shared" si="4"/>
        <v>Đ</v>
      </c>
      <c r="Z19" s="511">
        <f t="shared" si="5"/>
        <v>29660133</v>
      </c>
      <c r="AA19" s="511">
        <v>509008</v>
      </c>
      <c r="AB19" s="512">
        <f t="shared" si="9"/>
        <v>5727.046529720555</v>
      </c>
      <c r="AC19" s="511">
        <f t="shared" si="10"/>
        <v>29151125</v>
      </c>
    </row>
    <row r="20" spans="1:29" ht="19.5" customHeight="1">
      <c r="A20" s="500" t="s">
        <v>62</v>
      </c>
      <c r="B20" s="527" t="s">
        <v>565</v>
      </c>
      <c r="C20" s="495">
        <f>+D20+E20</f>
        <v>6389262</v>
      </c>
      <c r="D20" s="520">
        <v>6370776</v>
      </c>
      <c r="E20" s="520">
        <v>18486</v>
      </c>
      <c r="F20" s="520"/>
      <c r="G20" s="520"/>
      <c r="H20" s="495">
        <f>SUM(I20,R20)</f>
        <v>6389262</v>
      </c>
      <c r="I20" s="495">
        <f>SUM(J20:Q20)</f>
        <v>2863107</v>
      </c>
      <c r="J20" s="520">
        <v>181054</v>
      </c>
      <c r="K20" s="520"/>
      <c r="L20" s="520"/>
      <c r="M20" s="520">
        <v>2682053</v>
      </c>
      <c r="N20" s="520"/>
      <c r="O20" s="520"/>
      <c r="P20" s="520"/>
      <c r="Q20" s="520"/>
      <c r="R20" s="520">
        <v>3526155</v>
      </c>
      <c r="S20" s="577">
        <f>SUM(M20:R20)</f>
        <v>6208208</v>
      </c>
      <c r="T20" s="497">
        <f>(((J20+K20+L20))/I20)*100</f>
        <v>6.3236896141150165</v>
      </c>
      <c r="U20" s="502">
        <f>I20/H20</f>
        <v>0.4481123171971974</v>
      </c>
      <c r="V20" s="467"/>
      <c r="W20" s="561">
        <f t="shared" si="2"/>
        <v>0</v>
      </c>
      <c r="X20" s="447">
        <f t="shared" si="3"/>
        <v>6208208</v>
      </c>
      <c r="Y20" s="562" t="str">
        <f t="shared" si="4"/>
        <v>Đ</v>
      </c>
      <c r="Z20" s="511"/>
      <c r="AA20" s="511"/>
      <c r="AB20" s="512"/>
      <c r="AC20" s="511"/>
    </row>
    <row r="21" spans="1:29" ht="19.5" customHeight="1">
      <c r="A21" s="500" t="s">
        <v>63</v>
      </c>
      <c r="B21" s="527" t="s">
        <v>574</v>
      </c>
      <c r="C21" s="495">
        <f t="shared" si="11"/>
        <v>0</v>
      </c>
      <c r="D21" s="520"/>
      <c r="E21" s="520"/>
      <c r="F21" s="520"/>
      <c r="G21" s="520"/>
      <c r="H21" s="495">
        <f t="shared" si="12"/>
        <v>0</v>
      </c>
      <c r="I21" s="495">
        <f t="shared" si="13"/>
        <v>0</v>
      </c>
      <c r="J21" s="520"/>
      <c r="K21" s="520"/>
      <c r="L21" s="520"/>
      <c r="M21" s="520"/>
      <c r="N21" s="520"/>
      <c r="O21" s="520"/>
      <c r="P21" s="520"/>
      <c r="Q21" s="520"/>
      <c r="R21" s="520"/>
      <c r="S21" s="577">
        <f t="shared" si="14"/>
        <v>0</v>
      </c>
      <c r="T21" s="497" t="e">
        <f t="shared" si="1"/>
        <v>#DIV/0!</v>
      </c>
      <c r="U21" s="502" t="e">
        <f t="shared" si="8"/>
        <v>#DIV/0!</v>
      </c>
      <c r="V21" s="467"/>
      <c r="W21" s="561">
        <f t="shared" si="2"/>
        <v>0</v>
      </c>
      <c r="X21" s="447">
        <f t="shared" si="3"/>
        <v>0</v>
      </c>
      <c r="Y21" s="562" t="str">
        <f t="shared" si="4"/>
        <v>Đ</v>
      </c>
      <c r="Z21" s="511">
        <f t="shared" si="5"/>
        <v>0</v>
      </c>
      <c r="AA21" s="511">
        <v>4229544</v>
      </c>
      <c r="AB21" s="512">
        <f t="shared" si="9"/>
        <v>-100</v>
      </c>
      <c r="AC21" s="511">
        <f t="shared" si="10"/>
        <v>-4229544</v>
      </c>
    </row>
    <row r="22" spans="1:29" ht="19.5" customHeight="1">
      <c r="A22" s="575" t="s">
        <v>1</v>
      </c>
      <c r="B22" s="576" t="s">
        <v>17</v>
      </c>
      <c r="C22" s="495">
        <f aca="true" t="shared" si="15" ref="C22:S22">+C23+C31+C37+C43+C48+C54+C61+C67+C73</f>
        <v>760314920</v>
      </c>
      <c r="D22" s="495">
        <f t="shared" si="15"/>
        <v>606653809</v>
      </c>
      <c r="E22" s="495">
        <f t="shared" si="15"/>
        <v>153661111</v>
      </c>
      <c r="F22" s="495">
        <f t="shared" si="15"/>
        <v>1212618</v>
      </c>
      <c r="G22" s="495">
        <f t="shared" si="15"/>
        <v>28264</v>
      </c>
      <c r="H22" s="495">
        <f t="shared" si="15"/>
        <v>759102302</v>
      </c>
      <c r="I22" s="495">
        <f t="shared" si="15"/>
        <v>484261693</v>
      </c>
      <c r="J22" s="495">
        <f t="shared" si="15"/>
        <v>25369720</v>
      </c>
      <c r="K22" s="495">
        <f t="shared" si="15"/>
        <v>3374684</v>
      </c>
      <c r="L22" s="495">
        <f t="shared" si="15"/>
        <v>0</v>
      </c>
      <c r="M22" s="495">
        <f t="shared" si="15"/>
        <v>420931266</v>
      </c>
      <c r="N22" s="495">
        <f t="shared" si="15"/>
        <v>1868804</v>
      </c>
      <c r="O22" s="495">
        <f t="shared" si="15"/>
        <v>32850</v>
      </c>
      <c r="P22" s="495">
        <f t="shared" si="15"/>
        <v>0</v>
      </c>
      <c r="Q22" s="495">
        <f t="shared" si="15"/>
        <v>32684369</v>
      </c>
      <c r="R22" s="495">
        <f t="shared" si="15"/>
        <v>274840609</v>
      </c>
      <c r="S22" s="495">
        <f t="shared" si="15"/>
        <v>730357898</v>
      </c>
      <c r="T22" s="497">
        <f t="shared" si="1"/>
        <v>5.935717075188931</v>
      </c>
      <c r="U22" s="502">
        <f t="shared" si="8"/>
        <v>0.6379399610884068</v>
      </c>
      <c r="V22" s="519">
        <f>+V23+V31+V37+V43+V48+V54+V61+V67+V73</f>
        <v>0</v>
      </c>
      <c r="W22" s="561">
        <f t="shared" si="2"/>
        <v>-28264</v>
      </c>
      <c r="X22" s="447">
        <f t="shared" si="3"/>
        <v>730357898</v>
      </c>
      <c r="Y22" s="562" t="str">
        <f t="shared" si="4"/>
        <v>Đ</v>
      </c>
      <c r="Z22" s="510">
        <f t="shared" si="5"/>
        <v>455517289</v>
      </c>
      <c r="AA22" s="510" t="e">
        <f>+AA23+AA31+AA37+AA43+AA48+AA54+AA61+AA67+AA73</f>
        <v>#REF!</v>
      </c>
      <c r="AB22" s="512" t="e">
        <f t="shared" si="9"/>
        <v>#REF!</v>
      </c>
      <c r="AC22" s="511" t="e">
        <f t="shared" si="10"/>
        <v>#REF!</v>
      </c>
    </row>
    <row r="23" spans="1:29" ht="19.5" customHeight="1">
      <c r="A23" s="575" t="s">
        <v>43</v>
      </c>
      <c r="B23" s="576" t="s">
        <v>497</v>
      </c>
      <c r="C23" s="495">
        <f>+C24+C25+C26+C27+C28+C29+C30</f>
        <v>160559366</v>
      </c>
      <c r="D23" s="495">
        <f aca="true" t="shared" si="16" ref="D23:S23">+D24+D25+D26+D27+D28+D29+D30</f>
        <v>146043059</v>
      </c>
      <c r="E23" s="495">
        <f t="shared" si="16"/>
        <v>14516307</v>
      </c>
      <c r="F23" s="495">
        <f t="shared" si="16"/>
        <v>0</v>
      </c>
      <c r="G23" s="495">
        <f t="shared" si="16"/>
        <v>28264</v>
      </c>
      <c r="H23" s="495">
        <f t="shared" si="16"/>
        <v>160559366</v>
      </c>
      <c r="I23" s="495">
        <f t="shared" si="16"/>
        <v>77233134</v>
      </c>
      <c r="J23" s="495">
        <f t="shared" si="16"/>
        <v>11936504</v>
      </c>
      <c r="K23" s="495">
        <f t="shared" si="16"/>
        <v>348120</v>
      </c>
      <c r="L23" s="495">
        <f t="shared" si="16"/>
        <v>0</v>
      </c>
      <c r="M23" s="495">
        <f t="shared" si="16"/>
        <v>63502005</v>
      </c>
      <c r="N23" s="495">
        <f t="shared" si="16"/>
        <v>1176034</v>
      </c>
      <c r="O23" s="495">
        <f t="shared" si="16"/>
        <v>0</v>
      </c>
      <c r="P23" s="495">
        <f t="shared" si="16"/>
        <v>0</v>
      </c>
      <c r="Q23" s="495">
        <f t="shared" si="16"/>
        <v>270471</v>
      </c>
      <c r="R23" s="495">
        <f t="shared" si="16"/>
        <v>83326232</v>
      </c>
      <c r="S23" s="495">
        <f t="shared" si="16"/>
        <v>148274742</v>
      </c>
      <c r="T23" s="497">
        <f t="shared" si="1"/>
        <v>15.905898626358992</v>
      </c>
      <c r="U23" s="502">
        <f t="shared" si="8"/>
        <v>0.48102540464690174</v>
      </c>
      <c r="V23" s="519"/>
      <c r="W23" s="561">
        <f t="shared" si="2"/>
        <v>-28264</v>
      </c>
      <c r="X23" s="447">
        <f t="shared" si="3"/>
        <v>148274742</v>
      </c>
      <c r="Y23" s="562" t="str">
        <f t="shared" si="4"/>
        <v>Đ</v>
      </c>
      <c r="Z23" s="510">
        <f t="shared" si="5"/>
        <v>64948510</v>
      </c>
      <c r="AA23" s="510" t="e">
        <f>+AA24+AA25+AA26+AA27+AA28+AA30+#REF!</f>
        <v>#REF!</v>
      </c>
      <c r="AB23" s="512" t="e">
        <f t="shared" si="9"/>
        <v>#REF!</v>
      </c>
      <c r="AC23" s="511" t="e">
        <f t="shared" si="10"/>
        <v>#REF!</v>
      </c>
    </row>
    <row r="24" spans="1:29" ht="19.5" customHeight="1">
      <c r="A24" s="500" t="s">
        <v>45</v>
      </c>
      <c r="B24" s="571" t="s">
        <v>496</v>
      </c>
      <c r="C24" s="495">
        <f>+D24+E24</f>
        <v>5321334</v>
      </c>
      <c r="D24" s="626">
        <v>4891432</v>
      </c>
      <c r="E24" s="626">
        <v>429902</v>
      </c>
      <c r="F24" s="626">
        <v>0</v>
      </c>
      <c r="G24" s="626">
        <v>0</v>
      </c>
      <c r="H24" s="495">
        <f>+I24+R24</f>
        <v>5321334</v>
      </c>
      <c r="I24" s="495">
        <f>+J24+K24+L24+M24+N24+O24+P24+Q24</f>
        <v>1508911</v>
      </c>
      <c r="J24" s="626">
        <v>336346</v>
      </c>
      <c r="K24" s="626">
        <v>0</v>
      </c>
      <c r="L24" s="626">
        <v>0</v>
      </c>
      <c r="M24" s="626">
        <f aca="true" t="shared" si="17" ref="M24:M30">C24-(F24+J24+K24+L24+N24+O24+P24+Q24+R24+G24)</f>
        <v>1172565</v>
      </c>
      <c r="N24" s="626">
        <v>0</v>
      </c>
      <c r="O24" s="626">
        <v>0</v>
      </c>
      <c r="P24" s="626">
        <v>0</v>
      </c>
      <c r="Q24" s="626">
        <v>0</v>
      </c>
      <c r="R24" s="626">
        <v>3812423</v>
      </c>
      <c r="S24" s="577">
        <f>+R24+Q24+P24+O24+N24+M24</f>
        <v>4984988</v>
      </c>
      <c r="T24" s="497">
        <f t="shared" si="1"/>
        <v>22.290645372722448</v>
      </c>
      <c r="U24" s="502">
        <f t="shared" si="8"/>
        <v>0.2835587843198717</v>
      </c>
      <c r="V24" s="474"/>
      <c r="W24" s="561">
        <f t="shared" si="2"/>
        <v>0</v>
      </c>
      <c r="X24" s="447">
        <f t="shared" si="3"/>
        <v>4984988</v>
      </c>
      <c r="Y24" s="562" t="str">
        <f t="shared" si="4"/>
        <v>Đ</v>
      </c>
      <c r="Z24" s="511">
        <f t="shared" si="5"/>
        <v>1172565</v>
      </c>
      <c r="AA24" s="511">
        <v>202438</v>
      </c>
      <c r="AB24" s="512">
        <f t="shared" si="9"/>
        <v>479.2217864234976</v>
      </c>
      <c r="AC24" s="511">
        <f t="shared" si="10"/>
        <v>970127</v>
      </c>
    </row>
    <row r="25" spans="1:29" ht="19.5" customHeight="1">
      <c r="A25" s="500" t="s">
        <v>46</v>
      </c>
      <c r="B25" s="571" t="s">
        <v>559</v>
      </c>
      <c r="C25" s="495">
        <f aca="true" t="shared" si="18" ref="C25:C30">+D25+E25</f>
        <v>7747065</v>
      </c>
      <c r="D25" s="626">
        <v>6489995</v>
      </c>
      <c r="E25" s="626">
        <v>1257070</v>
      </c>
      <c r="F25" s="626">
        <v>0</v>
      </c>
      <c r="G25" s="626">
        <v>28264</v>
      </c>
      <c r="H25" s="495">
        <f aca="true" t="shared" si="19" ref="H25:H30">+I25+R25</f>
        <v>7747065</v>
      </c>
      <c r="I25" s="495">
        <f aca="true" t="shared" si="20" ref="I25:I30">+J25+K25+L25+M25+N25+O25+P25+Q25</f>
        <v>5662820</v>
      </c>
      <c r="J25" s="626">
        <v>117718</v>
      </c>
      <c r="K25" s="626">
        <v>28264</v>
      </c>
      <c r="L25" s="626">
        <v>0</v>
      </c>
      <c r="M25" s="626">
        <f>C25-(F25+J25+K25+L25+N25+O25+P25+Q25+R25)</f>
        <v>5516838</v>
      </c>
      <c r="N25" s="626">
        <v>0</v>
      </c>
      <c r="O25" s="626">
        <v>0</v>
      </c>
      <c r="P25" s="626">
        <v>0</v>
      </c>
      <c r="Q25" s="626">
        <v>0</v>
      </c>
      <c r="R25" s="626">
        <v>2084245</v>
      </c>
      <c r="S25" s="577">
        <f aca="true" t="shared" si="21" ref="S25:S36">+R25+Q25+P25+O25+N25+M25</f>
        <v>7601083</v>
      </c>
      <c r="T25" s="497">
        <f t="shared" si="1"/>
        <v>2.5779028823095205</v>
      </c>
      <c r="U25" s="502">
        <f t="shared" si="8"/>
        <v>0.7309632744787865</v>
      </c>
      <c r="V25" s="474"/>
      <c r="W25" s="561">
        <f aca="true" t="shared" si="22" ref="W25:W78">+C25-(F25+G25+H25)</f>
        <v>-28264</v>
      </c>
      <c r="X25" s="447">
        <f t="shared" si="3"/>
        <v>7601083</v>
      </c>
      <c r="Y25" s="562" t="str">
        <f t="shared" si="4"/>
        <v>Đ</v>
      </c>
      <c r="Z25" s="511">
        <f t="shared" si="5"/>
        <v>5516838</v>
      </c>
      <c r="AA25" s="511">
        <v>12196816</v>
      </c>
      <c r="AB25" s="512">
        <f t="shared" si="9"/>
        <v>-54.768211638184916</v>
      </c>
      <c r="AC25" s="511">
        <f t="shared" si="10"/>
        <v>-6679978</v>
      </c>
    </row>
    <row r="26" spans="1:29" ht="19.5" customHeight="1">
      <c r="A26" s="500" t="s">
        <v>104</v>
      </c>
      <c r="B26" s="571" t="s">
        <v>493</v>
      </c>
      <c r="C26" s="495">
        <f>+D26+E26</f>
        <v>25285283</v>
      </c>
      <c r="D26" s="626">
        <v>23196641</v>
      </c>
      <c r="E26" s="626">
        <v>2088642</v>
      </c>
      <c r="F26" s="626">
        <v>0</v>
      </c>
      <c r="G26" s="626">
        <v>0</v>
      </c>
      <c r="H26" s="495">
        <f t="shared" si="19"/>
        <v>25285283</v>
      </c>
      <c r="I26" s="495">
        <f t="shared" si="20"/>
        <v>7820175</v>
      </c>
      <c r="J26" s="626">
        <v>2231996</v>
      </c>
      <c r="K26" s="626">
        <v>0</v>
      </c>
      <c r="L26" s="626">
        <v>0</v>
      </c>
      <c r="M26" s="626">
        <f t="shared" si="17"/>
        <v>5233045</v>
      </c>
      <c r="N26" s="626">
        <v>102625</v>
      </c>
      <c r="O26" s="626">
        <v>0</v>
      </c>
      <c r="P26" s="626">
        <v>0</v>
      </c>
      <c r="Q26" s="626">
        <v>252509</v>
      </c>
      <c r="R26" s="626">
        <v>17465108</v>
      </c>
      <c r="S26" s="577">
        <f t="shared" si="21"/>
        <v>23053287</v>
      </c>
      <c r="T26" s="497">
        <f t="shared" si="1"/>
        <v>28.54150962094838</v>
      </c>
      <c r="U26" s="502">
        <f t="shared" si="8"/>
        <v>0.30927773282189486</v>
      </c>
      <c r="V26" s="474"/>
      <c r="W26" s="561">
        <f t="shared" si="22"/>
        <v>0</v>
      </c>
      <c r="X26" s="447">
        <f t="shared" si="3"/>
        <v>23053287</v>
      </c>
      <c r="Y26" s="562" t="str">
        <f t="shared" si="4"/>
        <v>Đ</v>
      </c>
      <c r="Z26" s="511">
        <f t="shared" si="5"/>
        <v>5588179</v>
      </c>
      <c r="AA26" s="511">
        <v>21682762</v>
      </c>
      <c r="AB26" s="512">
        <f t="shared" si="9"/>
        <v>-74.22754997725843</v>
      </c>
      <c r="AC26" s="511">
        <f t="shared" si="10"/>
        <v>-16094583</v>
      </c>
    </row>
    <row r="27" spans="1:29" ht="19.5" customHeight="1">
      <c r="A27" s="500" t="s">
        <v>106</v>
      </c>
      <c r="B27" s="571" t="s">
        <v>548</v>
      </c>
      <c r="C27" s="495">
        <f t="shared" si="18"/>
        <v>18395267</v>
      </c>
      <c r="D27" s="626">
        <v>17493620</v>
      </c>
      <c r="E27" s="626">
        <v>901647</v>
      </c>
      <c r="F27" s="626">
        <v>0</v>
      </c>
      <c r="G27" s="626">
        <v>0</v>
      </c>
      <c r="H27" s="495">
        <f t="shared" si="19"/>
        <v>18395267</v>
      </c>
      <c r="I27" s="495">
        <f t="shared" si="20"/>
        <v>7489837</v>
      </c>
      <c r="J27" s="626">
        <v>206921</v>
      </c>
      <c r="K27" s="626">
        <v>33191</v>
      </c>
      <c r="L27" s="626">
        <v>0</v>
      </c>
      <c r="M27" s="626">
        <f t="shared" si="17"/>
        <v>7249725</v>
      </c>
      <c r="N27" s="626">
        <v>0</v>
      </c>
      <c r="O27" s="626">
        <v>0</v>
      </c>
      <c r="P27" s="626">
        <v>0</v>
      </c>
      <c r="Q27" s="626">
        <v>0</v>
      </c>
      <c r="R27" s="626">
        <v>10905430</v>
      </c>
      <c r="S27" s="577">
        <f t="shared" si="21"/>
        <v>18155155</v>
      </c>
      <c r="T27" s="497">
        <f t="shared" si="1"/>
        <v>3.2058374568098076</v>
      </c>
      <c r="U27" s="502">
        <f t="shared" si="8"/>
        <v>0.40716109203525014</v>
      </c>
      <c r="V27" s="474"/>
      <c r="W27" s="561">
        <f t="shared" si="22"/>
        <v>0</v>
      </c>
      <c r="X27" s="447">
        <f t="shared" si="3"/>
        <v>18155155</v>
      </c>
      <c r="Y27" s="562" t="str">
        <f t="shared" si="4"/>
        <v>Đ</v>
      </c>
      <c r="Z27" s="511">
        <f t="shared" si="5"/>
        <v>7249725</v>
      </c>
      <c r="AA27" s="511">
        <v>20070651</v>
      </c>
      <c r="AB27" s="512">
        <f t="shared" si="9"/>
        <v>-63.87897432923326</v>
      </c>
      <c r="AC27" s="511">
        <f t="shared" si="10"/>
        <v>-12820926</v>
      </c>
    </row>
    <row r="28" spans="1:29" ht="19.5" customHeight="1">
      <c r="A28" s="500" t="s">
        <v>107</v>
      </c>
      <c r="B28" s="571" t="s">
        <v>494</v>
      </c>
      <c r="C28" s="495">
        <f t="shared" si="18"/>
        <v>47343469</v>
      </c>
      <c r="D28" s="626">
        <f>45840907-24</f>
        <v>45840883</v>
      </c>
      <c r="E28" s="626">
        <f>1596770-94208+24</f>
        <v>1502586</v>
      </c>
      <c r="F28" s="626">
        <v>0</v>
      </c>
      <c r="G28" s="626">
        <v>0</v>
      </c>
      <c r="H28" s="495">
        <f t="shared" si="19"/>
        <v>47343469</v>
      </c>
      <c r="I28" s="495">
        <f t="shared" si="20"/>
        <v>26605763</v>
      </c>
      <c r="J28" s="626">
        <f>1609882-914</f>
        <v>1608968</v>
      </c>
      <c r="K28" s="626">
        <v>84070</v>
      </c>
      <c r="L28" s="626">
        <v>0</v>
      </c>
      <c r="M28" s="626">
        <f>C28-(F28+J28+K28+L28+N28+O28+P28+Q28+R28+G28)</f>
        <v>24912725</v>
      </c>
      <c r="N28" s="626">
        <v>0</v>
      </c>
      <c r="O28" s="626">
        <v>0</v>
      </c>
      <c r="P28" s="626">
        <v>0</v>
      </c>
      <c r="Q28" s="626">
        <v>0</v>
      </c>
      <c r="R28" s="626">
        <v>20737706</v>
      </c>
      <c r="S28" s="577">
        <f t="shared" si="21"/>
        <v>45650431</v>
      </c>
      <c r="T28" s="497">
        <f t="shared" si="1"/>
        <v>6.3634258487531445</v>
      </c>
      <c r="U28" s="502">
        <f t="shared" si="8"/>
        <v>0.5619732470385725</v>
      </c>
      <c r="V28" s="474"/>
      <c r="W28" s="561">
        <f t="shared" si="22"/>
        <v>0</v>
      </c>
      <c r="X28" s="447">
        <f t="shared" si="3"/>
        <v>45650431</v>
      </c>
      <c r="Y28" s="562" t="str">
        <f t="shared" si="4"/>
        <v>Đ</v>
      </c>
      <c r="Z28" s="511">
        <f t="shared" si="5"/>
        <v>24912725</v>
      </c>
      <c r="AA28" s="511">
        <v>15435860</v>
      </c>
      <c r="AB28" s="512">
        <f t="shared" si="9"/>
        <v>61.39512148982953</v>
      </c>
      <c r="AC28" s="511">
        <f t="shared" si="10"/>
        <v>9476865</v>
      </c>
    </row>
    <row r="29" spans="1:29" ht="19.5" customHeight="1">
      <c r="A29" s="500" t="s">
        <v>109</v>
      </c>
      <c r="B29" s="571" t="s">
        <v>535</v>
      </c>
      <c r="C29" s="495">
        <f t="shared" si="18"/>
        <v>34480796</v>
      </c>
      <c r="D29" s="626">
        <v>30790496</v>
      </c>
      <c r="E29" s="626">
        <v>3690300</v>
      </c>
      <c r="F29" s="626">
        <v>0</v>
      </c>
      <c r="G29" s="626">
        <v>0</v>
      </c>
      <c r="H29" s="495">
        <f t="shared" si="19"/>
        <v>34480796</v>
      </c>
      <c r="I29" s="495">
        <f t="shared" si="20"/>
        <v>15140088</v>
      </c>
      <c r="J29" s="626">
        <v>3401495</v>
      </c>
      <c r="K29" s="626">
        <v>202595</v>
      </c>
      <c r="L29" s="626">
        <v>0</v>
      </c>
      <c r="M29" s="626">
        <f t="shared" si="17"/>
        <v>10462589</v>
      </c>
      <c r="N29" s="626">
        <v>1073409</v>
      </c>
      <c r="O29" s="626">
        <v>0</v>
      </c>
      <c r="P29" s="626">
        <v>0</v>
      </c>
      <c r="Q29" s="626">
        <v>0</v>
      </c>
      <c r="R29" s="626">
        <v>19340708</v>
      </c>
      <c r="S29" s="577">
        <f t="shared" si="21"/>
        <v>30876706</v>
      </c>
      <c r="T29" s="497">
        <f t="shared" si="1"/>
        <v>23.80494750096565</v>
      </c>
      <c r="U29" s="502">
        <f t="shared" si="8"/>
        <v>0.4390875431066035</v>
      </c>
      <c r="V29" s="474"/>
      <c r="W29" s="561">
        <f t="shared" si="22"/>
        <v>0</v>
      </c>
      <c r="X29" s="447">
        <f t="shared" si="3"/>
        <v>30876706</v>
      </c>
      <c r="Y29" s="562" t="str">
        <f t="shared" si="4"/>
        <v>Đ</v>
      </c>
      <c r="Z29" s="511">
        <f t="shared" si="5"/>
        <v>11535998</v>
      </c>
      <c r="AA29" s="511"/>
      <c r="AB29" s="512"/>
      <c r="AC29" s="511"/>
    </row>
    <row r="30" spans="1:29" ht="19.5" customHeight="1">
      <c r="A30" s="500" t="s">
        <v>110</v>
      </c>
      <c r="B30" s="571" t="s">
        <v>577</v>
      </c>
      <c r="C30" s="495">
        <f t="shared" si="18"/>
        <v>21986152</v>
      </c>
      <c r="D30" s="626">
        <v>17339992</v>
      </c>
      <c r="E30" s="626">
        <v>4646160</v>
      </c>
      <c r="F30" s="626">
        <v>0</v>
      </c>
      <c r="G30" s="626">
        <v>0</v>
      </c>
      <c r="H30" s="495">
        <f t="shared" si="19"/>
        <v>21986152</v>
      </c>
      <c r="I30" s="495">
        <f t="shared" si="20"/>
        <v>13005540</v>
      </c>
      <c r="J30" s="626">
        <v>4033060</v>
      </c>
      <c r="K30" s="626">
        <v>0</v>
      </c>
      <c r="L30" s="626">
        <v>0</v>
      </c>
      <c r="M30" s="626">
        <f t="shared" si="17"/>
        <v>8954518</v>
      </c>
      <c r="N30" s="626">
        <v>0</v>
      </c>
      <c r="O30" s="626">
        <v>0</v>
      </c>
      <c r="P30" s="626">
        <v>0</v>
      </c>
      <c r="Q30" s="626">
        <v>17962</v>
      </c>
      <c r="R30" s="626">
        <v>8980612</v>
      </c>
      <c r="S30" s="577">
        <f t="shared" si="21"/>
        <v>17953092</v>
      </c>
      <c r="T30" s="497">
        <f t="shared" si="1"/>
        <v>31.010323292996677</v>
      </c>
      <c r="U30" s="502">
        <f t="shared" si="8"/>
        <v>0.5915332523854105</v>
      </c>
      <c r="V30" s="474"/>
      <c r="W30" s="561">
        <f>+C30-(F30+G30+H30)</f>
        <v>0</v>
      </c>
      <c r="X30" s="447">
        <f t="shared" si="3"/>
        <v>17953092</v>
      </c>
      <c r="Y30" s="562" t="str">
        <f t="shared" si="4"/>
        <v>Đ</v>
      </c>
      <c r="Z30" s="511">
        <f t="shared" si="5"/>
        <v>8972480</v>
      </c>
      <c r="AA30" s="511">
        <v>13090299</v>
      </c>
      <c r="AB30" s="512">
        <f t="shared" si="9"/>
        <v>-31.457027834123576</v>
      </c>
      <c r="AC30" s="511">
        <f t="shared" si="10"/>
        <v>-4117819</v>
      </c>
    </row>
    <row r="31" spans="1:29" ht="19.5" customHeight="1">
      <c r="A31" s="575" t="s">
        <v>44</v>
      </c>
      <c r="B31" s="576" t="s">
        <v>492</v>
      </c>
      <c r="C31" s="495">
        <f>+C32+C33+C34+C35+C36</f>
        <v>85348558</v>
      </c>
      <c r="D31" s="495">
        <f aca="true" t="shared" si="23" ref="D31:S31">+D32+D33+D34+D35+D36</f>
        <v>70734376</v>
      </c>
      <c r="E31" s="495">
        <f t="shared" si="23"/>
        <v>14614182</v>
      </c>
      <c r="F31" s="495">
        <f t="shared" si="23"/>
        <v>1189766</v>
      </c>
      <c r="G31" s="495">
        <f t="shared" si="23"/>
        <v>0</v>
      </c>
      <c r="H31" s="495">
        <f t="shared" si="23"/>
        <v>84158792</v>
      </c>
      <c r="I31" s="495">
        <f t="shared" si="23"/>
        <v>63442387</v>
      </c>
      <c r="J31" s="495">
        <f t="shared" si="23"/>
        <v>2210498</v>
      </c>
      <c r="K31" s="495">
        <f t="shared" si="23"/>
        <v>317895</v>
      </c>
      <c r="L31" s="495">
        <f t="shared" si="23"/>
        <v>0</v>
      </c>
      <c r="M31" s="495">
        <f t="shared" si="23"/>
        <v>60913994</v>
      </c>
      <c r="N31" s="495">
        <f t="shared" si="23"/>
        <v>0</v>
      </c>
      <c r="O31" s="495">
        <f t="shared" si="23"/>
        <v>0</v>
      </c>
      <c r="P31" s="495">
        <f t="shared" si="23"/>
        <v>0</v>
      </c>
      <c r="Q31" s="495">
        <f t="shared" si="23"/>
        <v>0</v>
      </c>
      <c r="R31" s="495">
        <f t="shared" si="23"/>
        <v>20716405</v>
      </c>
      <c r="S31" s="495">
        <f t="shared" si="23"/>
        <v>81630399</v>
      </c>
      <c r="T31" s="574">
        <f t="shared" si="1"/>
        <v>3.9853371216943647</v>
      </c>
      <c r="U31" s="502">
        <f t="shared" si="8"/>
        <v>0.7538414643594219</v>
      </c>
      <c r="V31" s="519">
        <f>+V32+V33+V34+V35+V36</f>
        <v>0</v>
      </c>
      <c r="W31" s="561">
        <f t="shared" si="22"/>
        <v>0</v>
      </c>
      <c r="X31" s="447">
        <f t="shared" si="3"/>
        <v>81630399</v>
      </c>
      <c r="Y31" s="562" t="str">
        <f t="shared" si="4"/>
        <v>Đ</v>
      </c>
      <c r="Z31" s="510">
        <f t="shared" si="5"/>
        <v>60913994</v>
      </c>
      <c r="AA31" s="510">
        <v>19390422</v>
      </c>
      <c r="AB31" s="512">
        <f t="shared" si="9"/>
        <v>214.14475662262532</v>
      </c>
      <c r="AC31" s="511">
        <f t="shared" si="10"/>
        <v>41523572</v>
      </c>
    </row>
    <row r="32" spans="1:29" ht="19.5" customHeight="1">
      <c r="A32" s="500" t="s">
        <v>47</v>
      </c>
      <c r="B32" s="578" t="s">
        <v>542</v>
      </c>
      <c r="C32" s="495">
        <f>+D32+E32</f>
        <v>9343246</v>
      </c>
      <c r="D32" s="595">
        <v>8636338</v>
      </c>
      <c r="E32" s="595">
        <v>706908</v>
      </c>
      <c r="F32" s="625">
        <v>1103666</v>
      </c>
      <c r="G32" s="625"/>
      <c r="H32" s="495">
        <f>SUM(I32,R32)</f>
        <v>8239580</v>
      </c>
      <c r="I32" s="495">
        <f>+J32+K32+L32+M32+N32+O32+P32+Q32</f>
        <v>6062263</v>
      </c>
      <c r="J32" s="625">
        <v>530557</v>
      </c>
      <c r="K32" s="625">
        <v>0</v>
      </c>
      <c r="L32" s="625">
        <v>0</v>
      </c>
      <c r="M32" s="625">
        <v>5531706</v>
      </c>
      <c r="N32" s="625">
        <v>0</v>
      </c>
      <c r="O32" s="625">
        <v>0</v>
      </c>
      <c r="P32" s="625">
        <v>0</v>
      </c>
      <c r="Q32" s="625">
        <v>0</v>
      </c>
      <c r="R32" s="625">
        <v>2177317</v>
      </c>
      <c r="S32" s="577">
        <f t="shared" si="21"/>
        <v>7709023</v>
      </c>
      <c r="T32" s="497">
        <f t="shared" si="1"/>
        <v>8.751797802239857</v>
      </c>
      <c r="U32" s="502">
        <f t="shared" si="8"/>
        <v>0.7357490308972059</v>
      </c>
      <c r="V32" s="474"/>
      <c r="W32" s="561">
        <f t="shared" si="22"/>
        <v>0</v>
      </c>
      <c r="X32" s="447">
        <f t="shared" si="3"/>
        <v>7709023</v>
      </c>
      <c r="Y32" s="562" t="str">
        <f t="shared" si="4"/>
        <v>Đ</v>
      </c>
      <c r="Z32" s="511">
        <f t="shared" si="5"/>
        <v>5531706</v>
      </c>
      <c r="AA32" s="511">
        <v>1520681</v>
      </c>
      <c r="AB32" s="512">
        <f t="shared" si="9"/>
        <v>263.76505000062474</v>
      </c>
      <c r="AC32" s="511">
        <f t="shared" si="10"/>
        <v>4011025</v>
      </c>
    </row>
    <row r="33" spans="1:29" ht="19.5" customHeight="1">
      <c r="A33" s="500" t="s">
        <v>48</v>
      </c>
      <c r="B33" s="579" t="s">
        <v>491</v>
      </c>
      <c r="C33" s="495">
        <f aca="true" t="shared" si="24" ref="C33:C46">+D33+E33</f>
        <v>11209407</v>
      </c>
      <c r="D33" s="595">
        <v>10505794</v>
      </c>
      <c r="E33" s="595">
        <v>703613</v>
      </c>
      <c r="F33" s="625"/>
      <c r="G33" s="625"/>
      <c r="H33" s="495">
        <f>SUM(I33,R33)</f>
        <v>11209407</v>
      </c>
      <c r="I33" s="495">
        <f>+J33+K33+L33+M33+N33+O33+P33+Q33</f>
        <v>7882381</v>
      </c>
      <c r="J33" s="625">
        <v>380970</v>
      </c>
      <c r="K33" s="625"/>
      <c r="L33" s="625"/>
      <c r="M33" s="625">
        <v>7501411</v>
      </c>
      <c r="N33" s="625"/>
      <c r="O33" s="625"/>
      <c r="P33" s="625"/>
      <c r="Q33" s="625"/>
      <c r="R33" s="625">
        <v>3327026</v>
      </c>
      <c r="S33" s="577">
        <f t="shared" si="21"/>
        <v>10828437</v>
      </c>
      <c r="T33" s="497">
        <f t="shared" si="1"/>
        <v>4.833184287843991</v>
      </c>
      <c r="U33" s="502">
        <f t="shared" si="8"/>
        <v>0.7031933981877899</v>
      </c>
      <c r="V33" s="474"/>
      <c r="W33" s="561">
        <f t="shared" si="22"/>
        <v>0</v>
      </c>
      <c r="X33" s="447">
        <f t="shared" si="3"/>
        <v>10828437</v>
      </c>
      <c r="Y33" s="562" t="str">
        <f t="shared" si="4"/>
        <v>Đ</v>
      </c>
      <c r="Z33" s="511">
        <f t="shared" si="5"/>
        <v>7501411</v>
      </c>
      <c r="AA33" s="511">
        <v>3242021</v>
      </c>
      <c r="AB33" s="512">
        <f t="shared" si="9"/>
        <v>131.38070357964986</v>
      </c>
      <c r="AC33" s="511">
        <f t="shared" si="10"/>
        <v>4259390</v>
      </c>
    </row>
    <row r="34" spans="1:29" ht="19.5" customHeight="1">
      <c r="A34" s="500" t="s">
        <v>490</v>
      </c>
      <c r="B34" s="579" t="s">
        <v>495</v>
      </c>
      <c r="C34" s="495">
        <f t="shared" si="24"/>
        <v>34098353</v>
      </c>
      <c r="D34" s="595">
        <v>29393256</v>
      </c>
      <c r="E34" s="625">
        <v>4705097</v>
      </c>
      <c r="F34" s="625">
        <v>86100</v>
      </c>
      <c r="G34" s="625">
        <v>0</v>
      </c>
      <c r="H34" s="495">
        <f>SUM(I34,R34)</f>
        <v>34012253</v>
      </c>
      <c r="I34" s="495">
        <f>+J34+K34+L34+M34+N34+O34+P34+Q34</f>
        <v>27161927</v>
      </c>
      <c r="J34" s="625">
        <v>988434</v>
      </c>
      <c r="K34" s="625">
        <v>202313</v>
      </c>
      <c r="L34" s="625"/>
      <c r="M34" s="625">
        <v>25971180</v>
      </c>
      <c r="N34" s="625"/>
      <c r="O34" s="625"/>
      <c r="P34" s="625"/>
      <c r="Q34" s="625">
        <v>0</v>
      </c>
      <c r="R34" s="625">
        <v>6850326</v>
      </c>
      <c r="S34" s="577">
        <f t="shared" si="21"/>
        <v>32821506</v>
      </c>
      <c r="T34" s="497">
        <f t="shared" si="1"/>
        <v>4.383882631007734</v>
      </c>
      <c r="U34" s="502">
        <f t="shared" si="8"/>
        <v>0.7985924072715794</v>
      </c>
      <c r="V34" s="474"/>
      <c r="W34" s="561">
        <f t="shared" si="22"/>
        <v>0</v>
      </c>
      <c r="X34" s="447">
        <f t="shared" si="3"/>
        <v>32821506</v>
      </c>
      <c r="Y34" s="562" t="str">
        <f t="shared" si="4"/>
        <v>Đ</v>
      </c>
      <c r="Z34" s="511"/>
      <c r="AA34" s="511"/>
      <c r="AB34" s="512"/>
      <c r="AC34" s="511"/>
    </row>
    <row r="35" spans="1:29" ht="19.5" customHeight="1">
      <c r="A35" s="500" t="s">
        <v>488</v>
      </c>
      <c r="B35" s="579" t="s">
        <v>487</v>
      </c>
      <c r="C35" s="495">
        <f t="shared" si="24"/>
        <v>11648527</v>
      </c>
      <c r="D35" s="595">
        <v>9255235</v>
      </c>
      <c r="E35" s="625">
        <v>2393292</v>
      </c>
      <c r="F35" s="625"/>
      <c r="G35" s="625"/>
      <c r="H35" s="495">
        <f>SUM(I35,R35)</f>
        <v>11648527</v>
      </c>
      <c r="I35" s="495">
        <f>+J35+K35+L35+M35+N35+O35+P35+Q35</f>
        <v>6838867</v>
      </c>
      <c r="J35" s="625">
        <v>140593</v>
      </c>
      <c r="K35" s="625">
        <v>115582</v>
      </c>
      <c r="L35" s="625"/>
      <c r="M35" s="625">
        <v>6582692</v>
      </c>
      <c r="N35" s="625"/>
      <c r="O35" s="625"/>
      <c r="P35" s="625"/>
      <c r="Q35" s="625"/>
      <c r="R35" s="625">
        <v>4809660</v>
      </c>
      <c r="S35" s="577">
        <f t="shared" si="21"/>
        <v>11392352</v>
      </c>
      <c r="T35" s="497">
        <f t="shared" si="1"/>
        <v>3.7458690160226835</v>
      </c>
      <c r="U35" s="502">
        <f t="shared" si="8"/>
        <v>0.5871014420964985</v>
      </c>
      <c r="V35" s="474"/>
      <c r="W35" s="561">
        <f t="shared" si="22"/>
        <v>0</v>
      </c>
      <c r="X35" s="447">
        <f t="shared" si="3"/>
        <v>11392352</v>
      </c>
      <c r="Y35" s="562" t="str">
        <f t="shared" si="4"/>
        <v>Đ</v>
      </c>
      <c r="Z35" s="511">
        <f t="shared" si="5"/>
        <v>6582692</v>
      </c>
      <c r="AA35" s="511">
        <v>3284174</v>
      </c>
      <c r="AB35" s="512">
        <f t="shared" si="9"/>
        <v>100.43676126782563</v>
      </c>
      <c r="AC35" s="511">
        <f t="shared" si="10"/>
        <v>3298518</v>
      </c>
    </row>
    <row r="36" spans="1:29" ht="19.5" customHeight="1">
      <c r="A36" s="500" t="s">
        <v>549</v>
      </c>
      <c r="B36" s="579" t="s">
        <v>550</v>
      </c>
      <c r="C36" s="495">
        <f t="shared" si="24"/>
        <v>19049025</v>
      </c>
      <c r="D36" s="595">
        <v>12943753</v>
      </c>
      <c r="E36" s="625">
        <v>6105272</v>
      </c>
      <c r="F36" s="625"/>
      <c r="G36" s="625"/>
      <c r="H36" s="495">
        <f>SUM(I36,R36)</f>
        <v>19049025</v>
      </c>
      <c r="I36" s="495">
        <f>+J36+K36+L36+M36+N36+O36+P36+Q36</f>
        <v>15496949</v>
      </c>
      <c r="J36" s="625">
        <v>169944</v>
      </c>
      <c r="K36" s="625"/>
      <c r="L36" s="625"/>
      <c r="M36" s="625">
        <v>15327005</v>
      </c>
      <c r="N36" s="625"/>
      <c r="O36" s="625"/>
      <c r="P36" s="625"/>
      <c r="Q36" s="625">
        <v>0</v>
      </c>
      <c r="R36" s="625">
        <v>3552076</v>
      </c>
      <c r="S36" s="577">
        <f t="shared" si="21"/>
        <v>18879081</v>
      </c>
      <c r="T36" s="497">
        <f t="shared" si="1"/>
        <v>1.0966287622163562</v>
      </c>
      <c r="U36" s="502">
        <f t="shared" si="8"/>
        <v>0.813529773833569</v>
      </c>
      <c r="V36" s="474"/>
      <c r="W36" s="561">
        <f t="shared" si="22"/>
        <v>0</v>
      </c>
      <c r="X36" s="447">
        <f t="shared" si="3"/>
        <v>18879081</v>
      </c>
      <c r="Y36" s="562" t="str">
        <f t="shared" si="4"/>
        <v>Đ</v>
      </c>
      <c r="Z36" s="511">
        <f t="shared" si="5"/>
        <v>15327005</v>
      </c>
      <c r="AA36" s="511">
        <v>5203801</v>
      </c>
      <c r="AB36" s="512">
        <f t="shared" si="9"/>
        <v>194.53480254145</v>
      </c>
      <c r="AC36" s="511">
        <f t="shared" si="10"/>
        <v>10123204</v>
      </c>
    </row>
    <row r="37" spans="1:29" ht="19.5" customHeight="1">
      <c r="A37" s="575" t="s">
        <v>49</v>
      </c>
      <c r="B37" s="576" t="s">
        <v>486</v>
      </c>
      <c r="C37" s="495">
        <f>+C38+C39+C41+C42+C40</f>
        <v>45394415</v>
      </c>
      <c r="D37" s="495">
        <f aca="true" t="shared" si="25" ref="D37:S37">+D38+D39+D41+D42+D40</f>
        <v>40482002</v>
      </c>
      <c r="E37" s="495">
        <f t="shared" si="25"/>
        <v>4912413</v>
      </c>
      <c r="F37" s="495">
        <f t="shared" si="25"/>
        <v>0</v>
      </c>
      <c r="G37" s="495">
        <f t="shared" si="25"/>
        <v>0</v>
      </c>
      <c r="H37" s="495">
        <f t="shared" si="25"/>
        <v>45394415</v>
      </c>
      <c r="I37" s="495">
        <f t="shared" si="25"/>
        <v>18829220</v>
      </c>
      <c r="J37" s="495">
        <f t="shared" si="25"/>
        <v>1002165</v>
      </c>
      <c r="K37" s="495">
        <f t="shared" si="25"/>
        <v>164840</v>
      </c>
      <c r="L37" s="495">
        <f t="shared" si="25"/>
        <v>0</v>
      </c>
      <c r="M37" s="495">
        <f t="shared" si="25"/>
        <v>17659362</v>
      </c>
      <c r="N37" s="495">
        <f t="shared" si="25"/>
        <v>2853</v>
      </c>
      <c r="O37" s="495">
        <f t="shared" si="25"/>
        <v>0</v>
      </c>
      <c r="P37" s="495">
        <f t="shared" si="25"/>
        <v>0</v>
      </c>
      <c r="Q37" s="495">
        <f t="shared" si="25"/>
        <v>0</v>
      </c>
      <c r="R37" s="495">
        <f t="shared" si="25"/>
        <v>26565195</v>
      </c>
      <c r="S37" s="495">
        <f t="shared" si="25"/>
        <v>44227410</v>
      </c>
      <c r="T37" s="497">
        <f t="shared" si="1"/>
        <v>6.197840377880762</v>
      </c>
      <c r="U37" s="502">
        <f t="shared" si="8"/>
        <v>0.414791555304766</v>
      </c>
      <c r="V37" s="519">
        <f>+V38+V39+V41+V42</f>
        <v>0</v>
      </c>
      <c r="W37" s="561">
        <f t="shared" si="22"/>
        <v>0</v>
      </c>
      <c r="X37" s="447">
        <f t="shared" si="3"/>
        <v>44227410</v>
      </c>
      <c r="Y37" s="562" t="str">
        <f t="shared" si="4"/>
        <v>Đ</v>
      </c>
      <c r="Z37" s="510">
        <f t="shared" si="5"/>
        <v>17662215</v>
      </c>
      <c r="AA37" s="510" t="e">
        <f>+AA38+AA39+AA41+#REF!</f>
        <v>#REF!</v>
      </c>
      <c r="AB37" s="512" t="e">
        <f t="shared" si="9"/>
        <v>#REF!</v>
      </c>
      <c r="AC37" s="511" t="e">
        <f t="shared" si="10"/>
        <v>#REF!</v>
      </c>
    </row>
    <row r="38" spans="1:29" ht="19.5" customHeight="1">
      <c r="A38" s="500" t="s">
        <v>113</v>
      </c>
      <c r="B38" s="590" t="s">
        <v>499</v>
      </c>
      <c r="C38" s="495">
        <f t="shared" si="24"/>
        <v>392940</v>
      </c>
      <c r="D38" s="585"/>
      <c r="E38" s="591">
        <v>392940</v>
      </c>
      <c r="F38" s="585"/>
      <c r="G38" s="585"/>
      <c r="H38" s="495">
        <f aca="true" t="shared" si="26" ref="H38:H78">+I38+R38</f>
        <v>392940</v>
      </c>
      <c r="I38" s="495">
        <f>+J38+K38+L38+M38+N38+O38+P38+Q38</f>
        <v>392940</v>
      </c>
      <c r="J38" s="592">
        <v>7831</v>
      </c>
      <c r="K38" s="585"/>
      <c r="L38" s="585"/>
      <c r="M38" s="585">
        <v>385109</v>
      </c>
      <c r="N38" s="585"/>
      <c r="O38" s="585"/>
      <c r="P38" s="585"/>
      <c r="Q38" s="592"/>
      <c r="R38" s="585"/>
      <c r="S38" s="496">
        <f aca="true" t="shared" si="27" ref="S38:S43">+R38+Q38+P38+O38+N38+M38</f>
        <v>385109</v>
      </c>
      <c r="T38" s="497">
        <f t="shared" si="1"/>
        <v>1.992925128518349</v>
      </c>
      <c r="U38" s="502">
        <f t="shared" si="8"/>
        <v>1</v>
      </c>
      <c r="V38" s="474"/>
      <c r="W38" s="561">
        <f t="shared" si="22"/>
        <v>0</v>
      </c>
      <c r="X38" s="447">
        <f t="shared" si="3"/>
        <v>385109</v>
      </c>
      <c r="Y38" s="562" t="str">
        <f t="shared" si="4"/>
        <v>Đ</v>
      </c>
      <c r="Z38" s="511">
        <f t="shared" si="5"/>
        <v>385109</v>
      </c>
      <c r="AA38" s="511">
        <v>1125967</v>
      </c>
      <c r="AB38" s="512">
        <f t="shared" si="9"/>
        <v>-65.7974878482229</v>
      </c>
      <c r="AC38" s="511">
        <f t="shared" si="10"/>
        <v>-740858</v>
      </c>
    </row>
    <row r="39" spans="1:29" ht="19.5" customHeight="1">
      <c r="A39" s="500" t="s">
        <v>114</v>
      </c>
      <c r="B39" s="527" t="s">
        <v>485</v>
      </c>
      <c r="C39" s="495">
        <f t="shared" si="24"/>
        <v>10047541</v>
      </c>
      <c r="D39" s="544">
        <v>8646278</v>
      </c>
      <c r="E39" s="544">
        <v>1401263</v>
      </c>
      <c r="F39" s="544">
        <v>0</v>
      </c>
      <c r="G39" s="520"/>
      <c r="H39" s="495">
        <f t="shared" si="26"/>
        <v>10047541</v>
      </c>
      <c r="I39" s="495">
        <f>+J39+K39+L39+M39+N39+O39+P39+Q39</f>
        <v>5081958</v>
      </c>
      <c r="J39" s="544">
        <v>46150</v>
      </c>
      <c r="K39" s="544"/>
      <c r="L39" s="544">
        <v>0</v>
      </c>
      <c r="M39" s="544">
        <v>5035808</v>
      </c>
      <c r="N39" s="544"/>
      <c r="O39" s="544"/>
      <c r="P39" s="544"/>
      <c r="Q39" s="544"/>
      <c r="R39" s="544">
        <v>4965583</v>
      </c>
      <c r="S39" s="496">
        <f t="shared" si="27"/>
        <v>10001391</v>
      </c>
      <c r="T39" s="497">
        <f t="shared" si="1"/>
        <v>0.9081145495496027</v>
      </c>
      <c r="U39" s="502">
        <f t="shared" si="8"/>
        <v>0.5057912179706457</v>
      </c>
      <c r="V39" s="474"/>
      <c r="W39" s="561">
        <f t="shared" si="22"/>
        <v>0</v>
      </c>
      <c r="X39" s="447">
        <f t="shared" si="3"/>
        <v>10001391</v>
      </c>
      <c r="Y39" s="562" t="str">
        <f t="shared" si="4"/>
        <v>Đ</v>
      </c>
      <c r="Z39" s="511">
        <f t="shared" si="5"/>
        <v>5035808</v>
      </c>
      <c r="AA39" s="511">
        <v>3997241</v>
      </c>
      <c r="AB39" s="512">
        <f t="shared" si="9"/>
        <v>25.982096150820027</v>
      </c>
      <c r="AC39" s="511">
        <f t="shared" si="10"/>
        <v>1038567</v>
      </c>
    </row>
    <row r="40" spans="1:29" ht="19.5" customHeight="1">
      <c r="A40" s="500" t="s">
        <v>115</v>
      </c>
      <c r="B40" s="527" t="s">
        <v>484</v>
      </c>
      <c r="C40" s="495">
        <f t="shared" si="24"/>
        <v>10786277</v>
      </c>
      <c r="D40" s="544">
        <v>8920285</v>
      </c>
      <c r="E40" s="544">
        <v>1865992</v>
      </c>
      <c r="F40" s="544"/>
      <c r="G40" s="520"/>
      <c r="H40" s="495">
        <f t="shared" si="26"/>
        <v>10786277</v>
      </c>
      <c r="I40" s="495">
        <f>+J40+K40+L40+M40+N40+O40+P40+Q40</f>
        <v>3710522</v>
      </c>
      <c r="J40" s="544">
        <v>47283</v>
      </c>
      <c r="K40" s="544"/>
      <c r="L40" s="544">
        <v>0</v>
      </c>
      <c r="M40" s="544">
        <v>3663239</v>
      </c>
      <c r="N40" s="544"/>
      <c r="O40" s="544"/>
      <c r="P40" s="544"/>
      <c r="Q40" s="544"/>
      <c r="R40" s="544">
        <v>7075755</v>
      </c>
      <c r="S40" s="496">
        <f t="shared" si="27"/>
        <v>10738994</v>
      </c>
      <c r="T40" s="497">
        <f t="shared" si="1"/>
        <v>1.2742950991801152</v>
      </c>
      <c r="U40" s="502">
        <f t="shared" si="8"/>
        <v>0.3440039598463863</v>
      </c>
      <c r="V40" s="474"/>
      <c r="W40" s="561">
        <f t="shared" si="22"/>
        <v>0</v>
      </c>
      <c r="X40" s="447">
        <f t="shared" si="3"/>
        <v>10738994</v>
      </c>
      <c r="Y40" s="562" t="str">
        <f t="shared" si="4"/>
        <v>Đ</v>
      </c>
      <c r="Z40" s="511"/>
      <c r="AA40" s="511"/>
      <c r="AB40" s="512"/>
      <c r="AC40" s="511"/>
    </row>
    <row r="41" spans="1:29" ht="19.5" customHeight="1">
      <c r="A41" s="500" t="s">
        <v>483</v>
      </c>
      <c r="B41" s="527" t="s">
        <v>560</v>
      </c>
      <c r="C41" s="495">
        <f t="shared" si="24"/>
        <v>12648681</v>
      </c>
      <c r="D41" s="544">
        <v>12350811</v>
      </c>
      <c r="E41" s="544">
        <v>297870</v>
      </c>
      <c r="F41" s="544"/>
      <c r="G41" s="520"/>
      <c r="H41" s="495">
        <f t="shared" si="26"/>
        <v>12648681</v>
      </c>
      <c r="I41" s="495">
        <f>+J41+K41+L41+M41+N41+O41+P41+Q41</f>
        <v>5372796</v>
      </c>
      <c r="J41" s="544">
        <v>354826</v>
      </c>
      <c r="K41" s="544">
        <v>163731</v>
      </c>
      <c r="L41" s="544"/>
      <c r="M41" s="544">
        <v>4854239</v>
      </c>
      <c r="N41" s="544"/>
      <c r="O41" s="544"/>
      <c r="P41" s="544"/>
      <c r="Q41" s="544"/>
      <c r="R41" s="544">
        <v>7275885</v>
      </c>
      <c r="S41" s="496">
        <f t="shared" si="27"/>
        <v>12130124</v>
      </c>
      <c r="T41" s="497">
        <f t="shared" si="1"/>
        <v>9.651529669095941</v>
      </c>
      <c r="U41" s="502">
        <f t="shared" si="8"/>
        <v>0.4247712468991826</v>
      </c>
      <c r="V41" s="474"/>
      <c r="W41" s="561">
        <f t="shared" si="22"/>
        <v>0</v>
      </c>
      <c r="X41" s="447">
        <f t="shared" si="3"/>
        <v>12130124</v>
      </c>
      <c r="Y41" s="562" t="str">
        <f t="shared" si="4"/>
        <v>Đ</v>
      </c>
      <c r="Z41" s="511">
        <f t="shared" si="5"/>
        <v>4854239</v>
      </c>
      <c r="AA41" s="511">
        <v>5859265</v>
      </c>
      <c r="AB41" s="512">
        <f t="shared" si="9"/>
        <v>-17.15276574792231</v>
      </c>
      <c r="AC41" s="511">
        <f t="shared" si="10"/>
        <v>-1005026</v>
      </c>
    </row>
    <row r="42" spans="1:29" ht="19.5" customHeight="1">
      <c r="A42" s="500" t="s">
        <v>580</v>
      </c>
      <c r="B42" s="527" t="s">
        <v>561</v>
      </c>
      <c r="C42" s="495">
        <f t="shared" si="24"/>
        <v>11518976</v>
      </c>
      <c r="D42" s="544">
        <v>10564628</v>
      </c>
      <c r="E42" s="544">
        <v>954348</v>
      </c>
      <c r="F42" s="544"/>
      <c r="G42" s="520"/>
      <c r="H42" s="495">
        <f t="shared" si="26"/>
        <v>11518976</v>
      </c>
      <c r="I42" s="495">
        <f>+J42+K42+L42+M42+N42+O42+P42+Q42</f>
        <v>4271004</v>
      </c>
      <c r="J42" s="544">
        <v>546075</v>
      </c>
      <c r="K42" s="544">
        <v>1109</v>
      </c>
      <c r="L42" s="544">
        <v>0</v>
      </c>
      <c r="M42" s="544">
        <v>3720967</v>
      </c>
      <c r="N42" s="544">
        <v>2853</v>
      </c>
      <c r="O42" s="544"/>
      <c r="P42" s="544"/>
      <c r="Q42" s="544"/>
      <c r="R42" s="544">
        <v>7247972</v>
      </c>
      <c r="S42" s="496">
        <f t="shared" si="27"/>
        <v>10971792</v>
      </c>
      <c r="T42" s="497">
        <f t="shared" si="1"/>
        <v>12.811601206648366</v>
      </c>
      <c r="U42" s="502">
        <f t="shared" si="8"/>
        <v>0.3707798332073962</v>
      </c>
      <c r="V42" s="474"/>
      <c r="W42" s="561">
        <f t="shared" si="22"/>
        <v>0</v>
      </c>
      <c r="X42" s="447">
        <f t="shared" si="3"/>
        <v>10971792</v>
      </c>
      <c r="Y42" s="562" t="str">
        <f t="shared" si="4"/>
        <v>Đ</v>
      </c>
      <c r="Z42" s="511"/>
      <c r="AA42" s="511"/>
      <c r="AB42" s="512"/>
      <c r="AC42" s="511"/>
    </row>
    <row r="43" spans="1:29" ht="19.5" customHeight="1">
      <c r="A43" s="575" t="s">
        <v>58</v>
      </c>
      <c r="B43" s="576" t="s">
        <v>482</v>
      </c>
      <c r="C43" s="495">
        <f t="shared" si="24"/>
        <v>32411748</v>
      </c>
      <c r="D43" s="495">
        <f>SUM(D44:D47)</f>
        <v>27522167</v>
      </c>
      <c r="E43" s="495">
        <f>SUM(E44:E47)</f>
        <v>4889581</v>
      </c>
      <c r="F43" s="495">
        <f>SUM(F44:F47)</f>
        <v>0</v>
      </c>
      <c r="G43" s="495">
        <f>SUM(G44:G47)</f>
        <v>0</v>
      </c>
      <c r="H43" s="495">
        <f t="shared" si="26"/>
        <v>32411748</v>
      </c>
      <c r="I43" s="495">
        <f>SUM(J43:Q43)</f>
        <v>19821615</v>
      </c>
      <c r="J43" s="495">
        <f aca="true" t="shared" si="28" ref="J43:R43">SUM(J44:J47)</f>
        <v>400458</v>
      </c>
      <c r="K43" s="495">
        <f t="shared" si="28"/>
        <v>79842</v>
      </c>
      <c r="L43" s="495">
        <f t="shared" si="28"/>
        <v>0</v>
      </c>
      <c r="M43" s="495">
        <f t="shared" si="28"/>
        <v>19341315</v>
      </c>
      <c r="N43" s="495">
        <f t="shared" si="28"/>
        <v>0</v>
      </c>
      <c r="O43" s="495">
        <f t="shared" si="28"/>
        <v>0</v>
      </c>
      <c r="P43" s="495">
        <f t="shared" si="28"/>
        <v>0</v>
      </c>
      <c r="Q43" s="495">
        <f t="shared" si="28"/>
        <v>0</v>
      </c>
      <c r="R43" s="495">
        <f t="shared" si="28"/>
        <v>12590133</v>
      </c>
      <c r="S43" s="496">
        <f t="shared" si="27"/>
        <v>31931448</v>
      </c>
      <c r="T43" s="574">
        <f t="shared" si="1"/>
        <v>2.4231123447811895</v>
      </c>
      <c r="U43" s="502">
        <f t="shared" si="8"/>
        <v>0.6115564948857433</v>
      </c>
      <c r="V43" s="519">
        <f>SUM(V44:V47)</f>
        <v>0</v>
      </c>
      <c r="W43" s="561">
        <f t="shared" si="22"/>
        <v>0</v>
      </c>
      <c r="X43" s="447">
        <f t="shared" si="3"/>
        <v>31931448</v>
      </c>
      <c r="Y43" s="562" t="str">
        <f t="shared" si="4"/>
        <v>Đ</v>
      </c>
      <c r="Z43" s="510">
        <f t="shared" si="5"/>
        <v>19341315</v>
      </c>
      <c r="AA43" s="510" t="e">
        <f>+#REF!+AA44+AA47</f>
        <v>#REF!</v>
      </c>
      <c r="AB43" s="512" t="e">
        <f t="shared" si="9"/>
        <v>#REF!</v>
      </c>
      <c r="AC43" s="511" t="e">
        <f t="shared" si="10"/>
        <v>#REF!</v>
      </c>
    </row>
    <row r="44" spans="1:29" ht="19.5" customHeight="1">
      <c r="A44" s="500" t="s">
        <v>45</v>
      </c>
      <c r="B44" s="527" t="s">
        <v>469</v>
      </c>
      <c r="C44" s="495">
        <f t="shared" si="24"/>
        <v>7420195</v>
      </c>
      <c r="D44" s="624">
        <v>5551041</v>
      </c>
      <c r="E44" s="623">
        <v>1869154</v>
      </c>
      <c r="F44" s="520"/>
      <c r="G44" s="520"/>
      <c r="H44" s="495">
        <f t="shared" si="26"/>
        <v>7420195</v>
      </c>
      <c r="I44" s="495">
        <f>+J44+K44+L44+M44+N44+O44+P44+Q44</f>
        <v>4729245</v>
      </c>
      <c r="J44" s="623">
        <v>162276</v>
      </c>
      <c r="K44" s="623"/>
      <c r="L44" s="500"/>
      <c r="M44" s="623">
        <v>4566969</v>
      </c>
      <c r="N44" s="500"/>
      <c r="O44" s="500"/>
      <c r="P44" s="500"/>
      <c r="Q44" s="500"/>
      <c r="R44" s="622">
        <v>2690950</v>
      </c>
      <c r="S44" s="496">
        <f aca="true" t="shared" si="29" ref="S44:S53">+R44+Q44+P44+O44+N44+M44</f>
        <v>7257919</v>
      </c>
      <c r="T44" s="497">
        <f aca="true" t="shared" si="30" ref="T44:T78">(((J44+K44+L44))/I44)*100</f>
        <v>3.431329948014958</v>
      </c>
      <c r="U44" s="502">
        <f t="shared" si="8"/>
        <v>0.6373478055495846</v>
      </c>
      <c r="V44" s="555"/>
      <c r="W44" s="561">
        <f t="shared" si="22"/>
        <v>0</v>
      </c>
      <c r="X44" s="447">
        <f aca="true" t="shared" si="31" ref="X44:X78">+M44+N44+O44+P44+Q44+R44</f>
        <v>7257919</v>
      </c>
      <c r="Y44" s="562" t="str">
        <f aca="true" t="shared" si="32" ref="Y44:Y78">+IF(X44=S44,"Đ","S")</f>
        <v>Đ</v>
      </c>
      <c r="Z44" s="511">
        <f aca="true" t="shared" si="33" ref="Z44:Z78">+M44+N44+O44+P44+Q44</f>
        <v>4566969</v>
      </c>
      <c r="AA44" s="511">
        <v>2721620</v>
      </c>
      <c r="AB44" s="512">
        <f t="shared" si="9"/>
        <v>67.80333036941234</v>
      </c>
      <c r="AC44" s="511">
        <f t="shared" si="10"/>
        <v>1845349</v>
      </c>
    </row>
    <row r="45" spans="1:29" ht="19.5" customHeight="1">
      <c r="A45" s="500" t="s">
        <v>46</v>
      </c>
      <c r="B45" s="527" t="s">
        <v>481</v>
      </c>
      <c r="C45" s="495">
        <f t="shared" si="24"/>
        <v>11318426</v>
      </c>
      <c r="D45" s="624">
        <v>10082220</v>
      </c>
      <c r="E45" s="623">
        <v>1236206</v>
      </c>
      <c r="F45" s="520"/>
      <c r="G45" s="520"/>
      <c r="H45" s="495">
        <f t="shared" si="26"/>
        <v>11318426</v>
      </c>
      <c r="I45" s="495">
        <f>+J45+K45+L45+M45+N45+O45+P45+Q45</f>
        <v>6577013</v>
      </c>
      <c r="J45" s="623">
        <v>160146</v>
      </c>
      <c r="K45" s="623">
        <v>79842</v>
      </c>
      <c r="L45" s="500"/>
      <c r="M45" s="623">
        <v>6337025</v>
      </c>
      <c r="N45" s="500"/>
      <c r="O45" s="500"/>
      <c r="P45" s="500"/>
      <c r="Q45" s="500"/>
      <c r="R45" s="622">
        <v>4741413</v>
      </c>
      <c r="S45" s="496">
        <f t="shared" si="29"/>
        <v>11078438</v>
      </c>
      <c r="T45" s="497">
        <f t="shared" si="30"/>
        <v>3.6488904613690134</v>
      </c>
      <c r="U45" s="502">
        <f t="shared" si="8"/>
        <v>0.5810890136137304</v>
      </c>
      <c r="V45" s="555"/>
      <c r="W45" s="561">
        <f t="shared" si="22"/>
        <v>0</v>
      </c>
      <c r="X45" s="447">
        <f t="shared" si="31"/>
        <v>11078438</v>
      </c>
      <c r="Y45" s="562" t="str">
        <f t="shared" si="32"/>
        <v>Đ</v>
      </c>
      <c r="Z45" s="511"/>
      <c r="AA45" s="511"/>
      <c r="AB45" s="512"/>
      <c r="AC45" s="511"/>
    </row>
    <row r="46" spans="1:29" ht="19.5" customHeight="1">
      <c r="A46" s="500" t="s">
        <v>104</v>
      </c>
      <c r="B46" s="527" t="s">
        <v>582</v>
      </c>
      <c r="C46" s="495">
        <f t="shared" si="24"/>
        <v>4730816</v>
      </c>
      <c r="D46" s="624">
        <v>3519465</v>
      </c>
      <c r="E46" s="623">
        <v>1211351</v>
      </c>
      <c r="F46" s="520"/>
      <c r="G46" s="520"/>
      <c r="H46" s="495">
        <f t="shared" si="26"/>
        <v>4730816</v>
      </c>
      <c r="I46" s="495">
        <f>+J46+K46+L46+M46+N46+O46+P46+Q46</f>
        <v>3613417</v>
      </c>
      <c r="J46" s="623">
        <v>21126</v>
      </c>
      <c r="K46" s="623"/>
      <c r="L46" s="500"/>
      <c r="M46" s="623">
        <v>3592291</v>
      </c>
      <c r="N46" s="500"/>
      <c r="O46" s="500"/>
      <c r="P46" s="500"/>
      <c r="Q46" s="500"/>
      <c r="R46" s="622">
        <v>1117399</v>
      </c>
      <c r="S46" s="496">
        <f t="shared" si="29"/>
        <v>4709690</v>
      </c>
      <c r="T46" s="497">
        <f t="shared" si="30"/>
        <v>0.5846543590180707</v>
      </c>
      <c r="U46" s="502">
        <f t="shared" si="8"/>
        <v>0.7638041724725714</v>
      </c>
      <c r="V46" s="555"/>
      <c r="W46" s="561">
        <f t="shared" si="22"/>
        <v>0</v>
      </c>
      <c r="X46" s="447">
        <f t="shared" si="31"/>
        <v>4709690</v>
      </c>
      <c r="Y46" s="562" t="str">
        <f t="shared" si="32"/>
        <v>Đ</v>
      </c>
      <c r="Z46" s="511">
        <f t="shared" si="33"/>
        <v>3592291</v>
      </c>
      <c r="AA46" s="511"/>
      <c r="AB46" s="512" t="e">
        <f t="shared" si="9"/>
        <v>#DIV/0!</v>
      </c>
      <c r="AC46" s="511">
        <f t="shared" si="10"/>
        <v>3592291</v>
      </c>
    </row>
    <row r="47" spans="1:29" ht="19.5" customHeight="1">
      <c r="A47" s="500" t="s">
        <v>106</v>
      </c>
      <c r="B47" s="527" t="s">
        <v>547</v>
      </c>
      <c r="C47" s="495">
        <f aca="true" t="shared" si="34" ref="C47:C78">+D47+E47</f>
        <v>8942311</v>
      </c>
      <c r="D47" s="624">
        <v>8369441</v>
      </c>
      <c r="E47" s="623">
        <v>572870</v>
      </c>
      <c r="F47" s="520"/>
      <c r="G47" s="520"/>
      <c r="H47" s="495">
        <f t="shared" si="26"/>
        <v>8942311</v>
      </c>
      <c r="I47" s="495">
        <f>+J47+K47+L47+M47+N47+O47+P47+Q47</f>
        <v>4901940</v>
      </c>
      <c r="J47" s="623">
        <v>56910</v>
      </c>
      <c r="K47" s="623"/>
      <c r="L47" s="500"/>
      <c r="M47" s="623">
        <v>4845030</v>
      </c>
      <c r="N47" s="500"/>
      <c r="O47" s="500"/>
      <c r="P47" s="500"/>
      <c r="Q47" s="500"/>
      <c r="R47" s="622">
        <v>4040371</v>
      </c>
      <c r="S47" s="496">
        <f t="shared" si="29"/>
        <v>8885401</v>
      </c>
      <c r="T47" s="497">
        <f t="shared" si="30"/>
        <v>1.1609689225082316</v>
      </c>
      <c r="U47" s="502">
        <f t="shared" si="8"/>
        <v>0.5481737327185333</v>
      </c>
      <c r="V47" s="555"/>
      <c r="W47" s="561">
        <f t="shared" si="22"/>
        <v>0</v>
      </c>
      <c r="X47" s="447">
        <f t="shared" si="31"/>
        <v>8885401</v>
      </c>
      <c r="Y47" s="562" t="str">
        <f t="shared" si="32"/>
        <v>Đ</v>
      </c>
      <c r="Z47" s="511">
        <f t="shared" si="33"/>
        <v>4845030</v>
      </c>
      <c r="AA47" s="511">
        <v>1881773</v>
      </c>
      <c r="AB47" s="512">
        <f t="shared" si="9"/>
        <v>157.47154412354732</v>
      </c>
      <c r="AC47" s="511">
        <f t="shared" si="10"/>
        <v>2963257</v>
      </c>
    </row>
    <row r="48" spans="1:29" ht="19.5" customHeight="1">
      <c r="A48" s="575" t="s">
        <v>59</v>
      </c>
      <c r="B48" s="576" t="s">
        <v>480</v>
      </c>
      <c r="C48" s="577">
        <f>+C49+C50+C51+C53+C52</f>
        <v>36358839</v>
      </c>
      <c r="D48" s="577">
        <f aca="true" t="shared" si="35" ref="D48:P48">+D49+D50+D51+D53+D52</f>
        <v>31249002</v>
      </c>
      <c r="E48" s="577">
        <f t="shared" si="35"/>
        <v>5109837</v>
      </c>
      <c r="F48" s="577">
        <f t="shared" si="35"/>
        <v>20200</v>
      </c>
      <c r="G48" s="577">
        <f t="shared" si="35"/>
        <v>0</v>
      </c>
      <c r="H48" s="577">
        <f t="shared" si="35"/>
        <v>36338639</v>
      </c>
      <c r="I48" s="577">
        <f t="shared" si="35"/>
        <v>21207141</v>
      </c>
      <c r="J48" s="577">
        <f t="shared" si="35"/>
        <v>820855</v>
      </c>
      <c r="K48" s="577">
        <f t="shared" si="35"/>
        <v>577068</v>
      </c>
      <c r="L48" s="577">
        <f t="shared" si="35"/>
        <v>0</v>
      </c>
      <c r="M48" s="577">
        <f t="shared" si="35"/>
        <v>19408228</v>
      </c>
      <c r="N48" s="577">
        <f t="shared" si="35"/>
        <v>400990</v>
      </c>
      <c r="O48" s="577">
        <f t="shared" si="35"/>
        <v>0</v>
      </c>
      <c r="P48" s="577">
        <f t="shared" si="35"/>
        <v>0</v>
      </c>
      <c r="Q48" s="577">
        <f>+Q49+Q50+Q51+Q53+Q52</f>
        <v>0</v>
      </c>
      <c r="R48" s="577">
        <f>+R49+R50+R51+R53+R52</f>
        <v>15131498</v>
      </c>
      <c r="S48" s="577">
        <f>+S49+S50+S51+S53+S52</f>
        <v>34940716</v>
      </c>
      <c r="T48" s="497">
        <f t="shared" si="30"/>
        <v>6.591756050473753</v>
      </c>
      <c r="U48" s="502">
        <f t="shared" si="8"/>
        <v>0.5835975585106531</v>
      </c>
      <c r="V48" s="468">
        <f>+V49+V50+V51+V53+V52</f>
        <v>0</v>
      </c>
      <c r="W48" s="561">
        <f t="shared" si="22"/>
        <v>0</v>
      </c>
      <c r="X48" s="447">
        <f t="shared" si="31"/>
        <v>34940716</v>
      </c>
      <c r="Y48" s="562" t="str">
        <f t="shared" si="32"/>
        <v>Đ</v>
      </c>
      <c r="Z48" s="510">
        <f t="shared" si="33"/>
        <v>19809218</v>
      </c>
      <c r="AA48" s="510">
        <v>9872192</v>
      </c>
      <c r="AB48" s="512">
        <f t="shared" si="9"/>
        <v>100.65673358054626</v>
      </c>
      <c r="AC48" s="511">
        <f t="shared" si="10"/>
        <v>9937026</v>
      </c>
    </row>
    <row r="49" spans="1:29" ht="19.5" customHeight="1">
      <c r="A49" s="578" t="s">
        <v>116</v>
      </c>
      <c r="B49" s="596" t="s">
        <v>578</v>
      </c>
      <c r="C49" s="495">
        <f t="shared" si="34"/>
        <v>8909729</v>
      </c>
      <c r="D49" s="597">
        <v>7634987</v>
      </c>
      <c r="E49" s="626">
        <v>1274742</v>
      </c>
      <c r="F49" s="626">
        <v>0</v>
      </c>
      <c r="G49" s="626">
        <v>0</v>
      </c>
      <c r="H49" s="495">
        <f t="shared" si="26"/>
        <v>8909729</v>
      </c>
      <c r="I49" s="495">
        <f>+J49+K49+L49+M49+N49+O49+P49+Q49</f>
        <v>6029780</v>
      </c>
      <c r="J49" s="626">
        <v>306386</v>
      </c>
      <c r="K49" s="626">
        <v>559963</v>
      </c>
      <c r="L49" s="626">
        <v>0</v>
      </c>
      <c r="M49" s="626">
        <f>C49-(F49+J49+K49+L49+N49+O49+P49+Q49+R49+G49)</f>
        <v>5163431</v>
      </c>
      <c r="N49" s="626">
        <v>0</v>
      </c>
      <c r="O49" s="626">
        <v>0</v>
      </c>
      <c r="P49" s="626">
        <v>0</v>
      </c>
      <c r="Q49" s="626">
        <v>0</v>
      </c>
      <c r="R49" s="626">
        <v>2879949</v>
      </c>
      <c r="S49" s="496">
        <f t="shared" si="29"/>
        <v>8043380</v>
      </c>
      <c r="T49" s="497">
        <f t="shared" si="30"/>
        <v>14.367837632550442</v>
      </c>
      <c r="U49" s="502">
        <f t="shared" si="8"/>
        <v>0.6767635693521094</v>
      </c>
      <c r="V49" s="558"/>
      <c r="W49" s="561">
        <f t="shared" si="22"/>
        <v>0</v>
      </c>
      <c r="X49" s="447">
        <f t="shared" si="31"/>
        <v>8043380</v>
      </c>
      <c r="Y49" s="562" t="str">
        <f t="shared" si="32"/>
        <v>Đ</v>
      </c>
      <c r="Z49" s="511">
        <f t="shared" si="33"/>
        <v>5163431</v>
      </c>
      <c r="AA49" s="511">
        <v>69046</v>
      </c>
      <c r="AB49" s="512">
        <f t="shared" si="9"/>
        <v>7378.247834776815</v>
      </c>
      <c r="AC49" s="511">
        <f t="shared" si="10"/>
        <v>5094385</v>
      </c>
    </row>
    <row r="50" spans="1:29" ht="19.5" customHeight="1">
      <c r="A50" s="578" t="s">
        <v>117</v>
      </c>
      <c r="B50" s="596" t="s">
        <v>479</v>
      </c>
      <c r="C50" s="495">
        <f t="shared" si="34"/>
        <v>854688</v>
      </c>
      <c r="D50" s="597">
        <v>666312</v>
      </c>
      <c r="E50" s="626">
        <v>188376</v>
      </c>
      <c r="F50" s="626">
        <v>0</v>
      </c>
      <c r="G50" s="626">
        <v>0</v>
      </c>
      <c r="H50" s="495">
        <f t="shared" si="26"/>
        <v>854688</v>
      </c>
      <c r="I50" s="495">
        <f>+J50+K50+L50+M50+N50+O50+P50+Q50</f>
        <v>372652</v>
      </c>
      <c r="J50" s="626">
        <v>75066</v>
      </c>
      <c r="K50" s="626">
        <v>0</v>
      </c>
      <c r="L50" s="626">
        <v>0</v>
      </c>
      <c r="M50" s="626">
        <f>C50-(F50+J50+K50+L50+N50+O50+P50+Q50+R50+G50)</f>
        <v>297586</v>
      </c>
      <c r="N50" s="626">
        <v>0</v>
      </c>
      <c r="O50" s="626">
        <v>0</v>
      </c>
      <c r="P50" s="626">
        <v>0</v>
      </c>
      <c r="Q50" s="626">
        <v>0</v>
      </c>
      <c r="R50" s="626">
        <v>482036</v>
      </c>
      <c r="S50" s="496">
        <f t="shared" si="29"/>
        <v>779622</v>
      </c>
      <c r="T50" s="497">
        <f t="shared" si="30"/>
        <v>20.143726586735077</v>
      </c>
      <c r="U50" s="502">
        <f t="shared" si="8"/>
        <v>0.4360093975813396</v>
      </c>
      <c r="V50" s="541"/>
      <c r="W50" s="561">
        <f t="shared" si="22"/>
        <v>0</v>
      </c>
      <c r="X50" s="447">
        <f t="shared" si="31"/>
        <v>779622</v>
      </c>
      <c r="Y50" s="562" t="str">
        <f t="shared" si="32"/>
        <v>Đ</v>
      </c>
      <c r="Z50" s="511">
        <f t="shared" si="33"/>
        <v>297586</v>
      </c>
      <c r="AA50" s="511">
        <v>6139745</v>
      </c>
      <c r="AB50" s="512">
        <f t="shared" si="9"/>
        <v>-95.15312118011416</v>
      </c>
      <c r="AC50" s="511">
        <f t="shared" si="10"/>
        <v>-5842159</v>
      </c>
    </row>
    <row r="51" spans="1:29" ht="19.5" customHeight="1">
      <c r="A51" s="578" t="s">
        <v>118</v>
      </c>
      <c r="B51" s="596" t="s">
        <v>489</v>
      </c>
      <c r="C51" s="495">
        <f t="shared" si="34"/>
        <v>12075885</v>
      </c>
      <c r="D51" s="597">
        <v>9198934</v>
      </c>
      <c r="E51" s="626">
        <v>2876951</v>
      </c>
      <c r="F51" s="626">
        <v>0</v>
      </c>
      <c r="G51" s="626">
        <v>0</v>
      </c>
      <c r="H51" s="495">
        <f t="shared" si="26"/>
        <v>12075885</v>
      </c>
      <c r="I51" s="495">
        <f>+J51+K51+L51+M51+N51+O51+P51+Q51</f>
        <v>6766033</v>
      </c>
      <c r="J51" s="626">
        <v>347401</v>
      </c>
      <c r="K51" s="626">
        <v>17105</v>
      </c>
      <c r="L51" s="626">
        <v>0</v>
      </c>
      <c r="M51" s="626">
        <f>C51-(F51+J51+K51+L51+N51+O51+P51+Q51+R51+G51)</f>
        <v>6401527</v>
      </c>
      <c r="N51" s="626">
        <v>0</v>
      </c>
      <c r="O51" s="626">
        <v>0</v>
      </c>
      <c r="P51" s="626">
        <v>0</v>
      </c>
      <c r="Q51" s="626">
        <v>0</v>
      </c>
      <c r="R51" s="626">
        <v>5309852</v>
      </c>
      <c r="S51" s="496">
        <f t="shared" si="29"/>
        <v>11711379</v>
      </c>
      <c r="T51" s="497">
        <f t="shared" si="30"/>
        <v>5.387292672087175</v>
      </c>
      <c r="U51" s="502">
        <f t="shared" si="8"/>
        <v>0.5602929309114818</v>
      </c>
      <c r="V51" s="541"/>
      <c r="W51" s="561">
        <f t="shared" si="22"/>
        <v>0</v>
      </c>
      <c r="X51" s="447">
        <f t="shared" si="31"/>
        <v>11711379</v>
      </c>
      <c r="Y51" s="562" t="str">
        <f t="shared" si="32"/>
        <v>Đ</v>
      </c>
      <c r="Z51" s="511">
        <f t="shared" si="33"/>
        <v>6401527</v>
      </c>
      <c r="AA51" s="511">
        <v>1746920</v>
      </c>
      <c r="AB51" s="512">
        <f t="shared" si="9"/>
        <v>266.44648867721475</v>
      </c>
      <c r="AC51" s="511">
        <f t="shared" si="10"/>
        <v>4654607</v>
      </c>
    </row>
    <row r="52" spans="1:29" ht="19.5" customHeight="1">
      <c r="A52" s="578" t="s">
        <v>478</v>
      </c>
      <c r="B52" s="596" t="s">
        <v>579</v>
      </c>
      <c r="C52" s="495">
        <f t="shared" si="34"/>
        <v>8376397</v>
      </c>
      <c r="D52" s="597">
        <v>7803672</v>
      </c>
      <c r="E52" s="626">
        <v>572725</v>
      </c>
      <c r="F52" s="626">
        <v>0</v>
      </c>
      <c r="G52" s="626">
        <v>0</v>
      </c>
      <c r="H52" s="495">
        <f t="shared" si="26"/>
        <v>8376397</v>
      </c>
      <c r="I52" s="495">
        <f>+J52+K52+L52+M52+N52+O52+P52+Q52</f>
        <v>4597369</v>
      </c>
      <c r="J52" s="626">
        <v>56810</v>
      </c>
      <c r="K52" s="626">
        <v>0</v>
      </c>
      <c r="L52" s="626">
        <v>0</v>
      </c>
      <c r="M52" s="626">
        <f>C52-(F52+J52+K52+L52+N52+O52+P52+Q52+R52+G52)</f>
        <v>4387512</v>
      </c>
      <c r="N52" s="626">
        <v>153047</v>
      </c>
      <c r="O52" s="626">
        <v>0</v>
      </c>
      <c r="P52" s="626">
        <v>0</v>
      </c>
      <c r="Q52" s="626">
        <v>0</v>
      </c>
      <c r="R52" s="626">
        <v>3779028</v>
      </c>
      <c r="S52" s="496">
        <f t="shared" si="29"/>
        <v>8319587</v>
      </c>
      <c r="T52" s="497">
        <f t="shared" si="30"/>
        <v>1.2357067705463711</v>
      </c>
      <c r="U52" s="502">
        <f t="shared" si="8"/>
        <v>0.5488480309612832</v>
      </c>
      <c r="V52" s="541"/>
      <c r="W52" s="561">
        <f t="shared" si="22"/>
        <v>0</v>
      </c>
      <c r="X52" s="447">
        <f t="shared" si="31"/>
        <v>8319587</v>
      </c>
      <c r="Y52" s="562" t="str">
        <f t="shared" si="32"/>
        <v>Đ</v>
      </c>
      <c r="Z52" s="511">
        <f t="shared" si="33"/>
        <v>4540559</v>
      </c>
      <c r="AA52" s="511"/>
      <c r="AB52" s="512" t="e">
        <f t="shared" si="9"/>
        <v>#DIV/0!</v>
      </c>
      <c r="AC52" s="511">
        <f t="shared" si="10"/>
        <v>4540559</v>
      </c>
    </row>
    <row r="53" spans="1:29" ht="19.5" customHeight="1">
      <c r="A53" s="578" t="s">
        <v>536</v>
      </c>
      <c r="B53" s="596" t="s">
        <v>477</v>
      </c>
      <c r="C53" s="495">
        <f t="shared" si="34"/>
        <v>6142140</v>
      </c>
      <c r="D53" s="597">
        <v>5945097</v>
      </c>
      <c r="E53" s="626">
        <v>197043</v>
      </c>
      <c r="F53" s="626">
        <v>20200</v>
      </c>
      <c r="G53" s="626">
        <v>0</v>
      </c>
      <c r="H53" s="495">
        <f t="shared" si="26"/>
        <v>6121940</v>
      </c>
      <c r="I53" s="495">
        <f>+J53+K53+L53+M53+N53+O53+P53+Q53</f>
        <v>3441307</v>
      </c>
      <c r="J53" s="626">
        <v>35192</v>
      </c>
      <c r="K53" s="626">
        <v>0</v>
      </c>
      <c r="L53" s="626">
        <v>0</v>
      </c>
      <c r="M53" s="626">
        <f>C53-(F53+J53+K53+L53+N53+O53+P53+Q53+R53+G53)</f>
        <v>3158172</v>
      </c>
      <c r="N53" s="626">
        <v>247943</v>
      </c>
      <c r="O53" s="626">
        <v>0</v>
      </c>
      <c r="P53" s="626">
        <v>0</v>
      </c>
      <c r="Q53" s="626">
        <v>0</v>
      </c>
      <c r="R53" s="626">
        <v>2680633</v>
      </c>
      <c r="S53" s="496">
        <f t="shared" si="29"/>
        <v>6086748</v>
      </c>
      <c r="T53" s="497">
        <f t="shared" si="30"/>
        <v>1.0226347140781105</v>
      </c>
      <c r="U53" s="502">
        <f t="shared" si="8"/>
        <v>0.5621268748141929</v>
      </c>
      <c r="V53" s="541"/>
      <c r="W53" s="561">
        <f t="shared" si="22"/>
        <v>0</v>
      </c>
      <c r="X53" s="447">
        <f t="shared" si="31"/>
        <v>6086748</v>
      </c>
      <c r="Y53" s="562" t="str">
        <f t="shared" si="32"/>
        <v>Đ</v>
      </c>
      <c r="Z53" s="511">
        <f t="shared" si="33"/>
        <v>3406115</v>
      </c>
      <c r="AA53" s="511">
        <v>972459</v>
      </c>
      <c r="AB53" s="512">
        <f t="shared" si="9"/>
        <v>250.25795431992503</v>
      </c>
      <c r="AC53" s="511">
        <f t="shared" si="10"/>
        <v>2433656</v>
      </c>
    </row>
    <row r="54" spans="1:29" ht="19.5" customHeight="1">
      <c r="A54" s="575" t="s">
        <v>60</v>
      </c>
      <c r="B54" s="576" t="s">
        <v>476</v>
      </c>
      <c r="C54" s="495">
        <f>+C55+C56+C57+C58+C59+C60</f>
        <v>77689210</v>
      </c>
      <c r="D54" s="495">
        <f aca="true" t="shared" si="36" ref="D54:S54">+D55+D56+D57+D58+D59+D60</f>
        <v>68156095</v>
      </c>
      <c r="E54" s="495">
        <f t="shared" si="36"/>
        <v>9533115</v>
      </c>
      <c r="F54" s="495">
        <f t="shared" si="36"/>
        <v>0</v>
      </c>
      <c r="G54" s="495">
        <f t="shared" si="36"/>
        <v>0</v>
      </c>
      <c r="H54" s="495">
        <f t="shared" si="36"/>
        <v>77689210</v>
      </c>
      <c r="I54" s="495">
        <f t="shared" si="36"/>
        <v>49644212</v>
      </c>
      <c r="J54" s="495">
        <f t="shared" si="36"/>
        <v>1021666</v>
      </c>
      <c r="K54" s="495">
        <f t="shared" si="36"/>
        <v>825000</v>
      </c>
      <c r="L54" s="495">
        <f t="shared" si="36"/>
        <v>0</v>
      </c>
      <c r="M54" s="495">
        <f t="shared" si="36"/>
        <v>47797546</v>
      </c>
      <c r="N54" s="495">
        <f t="shared" si="36"/>
        <v>0</v>
      </c>
      <c r="O54" s="495">
        <f t="shared" si="36"/>
        <v>0</v>
      </c>
      <c r="P54" s="495">
        <f t="shared" si="36"/>
        <v>0</v>
      </c>
      <c r="Q54" s="495">
        <f t="shared" si="36"/>
        <v>0</v>
      </c>
      <c r="R54" s="495">
        <f t="shared" si="36"/>
        <v>28044998</v>
      </c>
      <c r="S54" s="495">
        <f t="shared" si="36"/>
        <v>75842544</v>
      </c>
      <c r="T54" s="574">
        <f t="shared" si="30"/>
        <v>3.7198012126771194</v>
      </c>
      <c r="U54" s="502">
        <f t="shared" si="8"/>
        <v>0.6390103850972355</v>
      </c>
      <c r="V54" s="519">
        <f>+V55+V56+V57+V58+V59+V60</f>
        <v>0</v>
      </c>
      <c r="W54" s="561">
        <f t="shared" si="22"/>
        <v>0</v>
      </c>
      <c r="X54" s="447">
        <f t="shared" si="31"/>
        <v>75842544</v>
      </c>
      <c r="Y54" s="447" t="str">
        <f t="shared" si="32"/>
        <v>Đ</v>
      </c>
      <c r="Z54" s="510">
        <f t="shared" si="33"/>
        <v>47797546</v>
      </c>
      <c r="AA54" s="510">
        <v>19202799</v>
      </c>
      <c r="AB54" s="512">
        <f t="shared" si="9"/>
        <v>148.90926577943142</v>
      </c>
      <c r="AC54" s="511">
        <f t="shared" si="10"/>
        <v>28594747</v>
      </c>
    </row>
    <row r="55" spans="1:29" ht="19.5" customHeight="1">
      <c r="A55" s="500" t="s">
        <v>475</v>
      </c>
      <c r="B55" s="527" t="s">
        <v>498</v>
      </c>
      <c r="C55" s="495">
        <f t="shared" si="34"/>
        <v>10237841</v>
      </c>
      <c r="D55" s="544">
        <v>8086576</v>
      </c>
      <c r="E55" s="544">
        <v>2151265</v>
      </c>
      <c r="F55" s="544">
        <v>0</v>
      </c>
      <c r="G55" s="520"/>
      <c r="H55" s="495">
        <f t="shared" si="26"/>
        <v>10237841</v>
      </c>
      <c r="I55" s="495">
        <f aca="true" t="shared" si="37" ref="I55:I78">SUM(J55:Q55)</f>
        <v>6221573</v>
      </c>
      <c r="J55" s="544">
        <v>297057</v>
      </c>
      <c r="K55" s="544">
        <v>825000</v>
      </c>
      <c r="L55" s="544">
        <v>0</v>
      </c>
      <c r="M55" s="544">
        <v>5099516</v>
      </c>
      <c r="N55" s="544"/>
      <c r="O55" s="544"/>
      <c r="P55" s="544"/>
      <c r="Q55" s="544"/>
      <c r="R55" s="544">
        <v>4016268</v>
      </c>
      <c r="S55" s="577">
        <f aca="true" t="shared" si="38" ref="S55:S78">SUM(M55:R55)</f>
        <v>9115784</v>
      </c>
      <c r="T55" s="497">
        <f t="shared" si="30"/>
        <v>18.034940681400023</v>
      </c>
      <c r="U55" s="502">
        <f t="shared" si="8"/>
        <v>0.6077036164167816</v>
      </c>
      <c r="V55" s="547"/>
      <c r="W55" s="561">
        <f t="shared" si="22"/>
        <v>0</v>
      </c>
      <c r="X55" s="447">
        <f t="shared" si="31"/>
        <v>9115784</v>
      </c>
      <c r="Y55" s="447" t="str">
        <f t="shared" si="32"/>
        <v>Đ</v>
      </c>
      <c r="Z55" s="511">
        <f t="shared" si="33"/>
        <v>5099516</v>
      </c>
      <c r="AA55" s="511">
        <v>1494335</v>
      </c>
      <c r="AB55" s="512">
        <f t="shared" si="9"/>
        <v>241.25654555370787</v>
      </c>
      <c r="AC55" s="511">
        <f t="shared" si="10"/>
        <v>3605181</v>
      </c>
    </row>
    <row r="56" spans="1:29" ht="19.5" customHeight="1">
      <c r="A56" s="500" t="s">
        <v>474</v>
      </c>
      <c r="B56" s="527" t="s">
        <v>473</v>
      </c>
      <c r="C56" s="495">
        <f t="shared" si="34"/>
        <v>15700778</v>
      </c>
      <c r="D56" s="544">
        <v>15322872</v>
      </c>
      <c r="E56" s="544">
        <v>377906</v>
      </c>
      <c r="F56" s="544"/>
      <c r="G56" s="520"/>
      <c r="H56" s="495">
        <f t="shared" si="26"/>
        <v>15700778</v>
      </c>
      <c r="I56" s="495">
        <f t="shared" si="37"/>
        <v>11238247</v>
      </c>
      <c r="J56" s="544">
        <v>21478</v>
      </c>
      <c r="K56" s="544"/>
      <c r="L56" s="544">
        <v>0</v>
      </c>
      <c r="M56" s="544">
        <v>11216769</v>
      </c>
      <c r="N56" s="544"/>
      <c r="O56" s="544"/>
      <c r="P56" s="544"/>
      <c r="Q56" s="544"/>
      <c r="R56" s="544">
        <v>4462531</v>
      </c>
      <c r="S56" s="577">
        <f t="shared" si="38"/>
        <v>15679300</v>
      </c>
      <c r="T56" s="497">
        <f t="shared" si="30"/>
        <v>0.1911152157449467</v>
      </c>
      <c r="U56" s="502">
        <f t="shared" si="8"/>
        <v>0.7157764411419613</v>
      </c>
      <c r="V56" s="547"/>
      <c r="W56" s="561">
        <f t="shared" si="22"/>
        <v>0</v>
      </c>
      <c r="X56" s="447">
        <f t="shared" si="31"/>
        <v>15679300</v>
      </c>
      <c r="Y56" s="447" t="str">
        <f t="shared" si="32"/>
        <v>Đ</v>
      </c>
      <c r="Z56" s="511">
        <f t="shared" si="33"/>
        <v>11216769</v>
      </c>
      <c r="AA56" s="511">
        <v>6585209</v>
      </c>
      <c r="AB56" s="512">
        <f t="shared" si="9"/>
        <v>70.33277151871718</v>
      </c>
      <c r="AC56" s="511">
        <f t="shared" si="10"/>
        <v>4631560</v>
      </c>
    </row>
    <row r="57" spans="1:29" ht="19.5" customHeight="1">
      <c r="A57" s="500" t="s">
        <v>472</v>
      </c>
      <c r="B57" s="527" t="s">
        <v>471</v>
      </c>
      <c r="C57" s="495">
        <f t="shared" si="34"/>
        <v>22891913</v>
      </c>
      <c r="D57" s="544">
        <v>19220562</v>
      </c>
      <c r="E57" s="544">
        <v>3671351</v>
      </c>
      <c r="F57" s="544"/>
      <c r="G57" s="520"/>
      <c r="H57" s="495">
        <f t="shared" si="26"/>
        <v>22891913</v>
      </c>
      <c r="I57" s="495">
        <f t="shared" si="37"/>
        <v>15493554</v>
      </c>
      <c r="J57" s="544">
        <v>402687</v>
      </c>
      <c r="K57" s="544"/>
      <c r="L57" s="544"/>
      <c r="M57" s="544">
        <v>15090867</v>
      </c>
      <c r="N57" s="544"/>
      <c r="O57" s="544"/>
      <c r="P57" s="544"/>
      <c r="Q57" s="544"/>
      <c r="R57" s="544">
        <v>7398359</v>
      </c>
      <c r="S57" s="577">
        <f t="shared" si="38"/>
        <v>22489226</v>
      </c>
      <c r="T57" s="497">
        <f t="shared" si="30"/>
        <v>2.59906151939058</v>
      </c>
      <c r="U57" s="502">
        <f t="shared" si="8"/>
        <v>0.676813423150787</v>
      </c>
      <c r="V57" s="547"/>
      <c r="W57" s="561">
        <f t="shared" si="22"/>
        <v>0</v>
      </c>
      <c r="X57" s="447">
        <f t="shared" si="31"/>
        <v>22489226</v>
      </c>
      <c r="Y57" s="447" t="str">
        <f t="shared" si="32"/>
        <v>Đ</v>
      </c>
      <c r="Z57" s="511">
        <f t="shared" si="33"/>
        <v>15090867</v>
      </c>
      <c r="AA57" s="511">
        <v>5314571</v>
      </c>
      <c r="AB57" s="512">
        <f t="shared" si="9"/>
        <v>183.95268404542907</v>
      </c>
      <c r="AC57" s="511">
        <f t="shared" si="10"/>
        <v>9776296</v>
      </c>
    </row>
    <row r="58" spans="1:29" ht="19.5" customHeight="1">
      <c r="A58" s="500" t="s">
        <v>470</v>
      </c>
      <c r="B58" s="527" t="s">
        <v>564</v>
      </c>
      <c r="C58" s="495">
        <f t="shared" si="34"/>
        <v>11211685</v>
      </c>
      <c r="D58" s="544">
        <v>9672401</v>
      </c>
      <c r="E58" s="544">
        <v>1539284</v>
      </c>
      <c r="F58" s="544"/>
      <c r="G58" s="520"/>
      <c r="H58" s="495">
        <f t="shared" si="26"/>
        <v>11211685</v>
      </c>
      <c r="I58" s="495">
        <f t="shared" si="37"/>
        <v>8695281</v>
      </c>
      <c r="J58" s="544">
        <v>117830</v>
      </c>
      <c r="K58" s="544"/>
      <c r="L58" s="544">
        <v>0</v>
      </c>
      <c r="M58" s="544">
        <v>8577451</v>
      </c>
      <c r="N58" s="544"/>
      <c r="O58" s="544"/>
      <c r="P58" s="544"/>
      <c r="Q58" s="544"/>
      <c r="R58" s="544">
        <v>2516404</v>
      </c>
      <c r="S58" s="577">
        <f t="shared" si="38"/>
        <v>11093855</v>
      </c>
      <c r="T58" s="497">
        <f t="shared" si="30"/>
        <v>1.355102842564835</v>
      </c>
      <c r="U58" s="502">
        <f t="shared" si="8"/>
        <v>0.7755552354530117</v>
      </c>
      <c r="V58" s="547"/>
      <c r="W58" s="561">
        <f t="shared" si="22"/>
        <v>0</v>
      </c>
      <c r="X58" s="447">
        <f t="shared" si="31"/>
        <v>11093855</v>
      </c>
      <c r="Y58" s="447" t="str">
        <f t="shared" si="32"/>
        <v>Đ</v>
      </c>
      <c r="Z58" s="511">
        <f t="shared" si="33"/>
        <v>8577451</v>
      </c>
      <c r="AA58" s="511">
        <v>2349707</v>
      </c>
      <c r="AB58" s="512">
        <f t="shared" si="9"/>
        <v>265.0434288189974</v>
      </c>
      <c r="AC58" s="511">
        <f t="shared" si="10"/>
        <v>6227744</v>
      </c>
    </row>
    <row r="59" spans="1:29" ht="19.5" customHeight="1">
      <c r="A59" s="500" t="s">
        <v>468</v>
      </c>
      <c r="B59" s="527" t="s">
        <v>531</v>
      </c>
      <c r="C59" s="495">
        <f t="shared" si="34"/>
        <v>8605775</v>
      </c>
      <c r="D59" s="544">
        <v>8347389</v>
      </c>
      <c r="E59" s="544">
        <v>258386</v>
      </c>
      <c r="F59" s="544"/>
      <c r="G59" s="520"/>
      <c r="H59" s="495">
        <f t="shared" si="26"/>
        <v>8605775</v>
      </c>
      <c r="I59" s="495">
        <f t="shared" si="37"/>
        <v>5133179</v>
      </c>
      <c r="J59" s="544">
        <v>11085</v>
      </c>
      <c r="K59" s="544"/>
      <c r="L59" s="544">
        <v>0</v>
      </c>
      <c r="M59" s="544">
        <v>5122094</v>
      </c>
      <c r="N59" s="544"/>
      <c r="O59" s="544"/>
      <c r="P59" s="544"/>
      <c r="Q59" s="544"/>
      <c r="R59" s="544">
        <v>3472596</v>
      </c>
      <c r="S59" s="577">
        <f t="shared" si="38"/>
        <v>8594690</v>
      </c>
      <c r="T59" s="497">
        <f t="shared" si="30"/>
        <v>0.2159480509056863</v>
      </c>
      <c r="U59" s="502">
        <f t="shared" si="8"/>
        <v>0.5964807353201774</v>
      </c>
      <c r="V59" s="547"/>
      <c r="W59" s="561">
        <f t="shared" si="22"/>
        <v>0</v>
      </c>
      <c r="X59" s="447">
        <f t="shared" si="31"/>
        <v>8594690</v>
      </c>
      <c r="Y59" s="447" t="str">
        <f t="shared" si="32"/>
        <v>Đ</v>
      </c>
      <c r="Z59" s="511"/>
      <c r="AA59" s="511"/>
      <c r="AB59" s="512"/>
      <c r="AC59" s="511"/>
    </row>
    <row r="60" spans="1:29" ht="19.5" customHeight="1">
      <c r="A60" s="500" t="s">
        <v>534</v>
      </c>
      <c r="B60" s="527" t="s">
        <v>551</v>
      </c>
      <c r="C60" s="495">
        <f t="shared" si="34"/>
        <v>9041218</v>
      </c>
      <c r="D60" s="520">
        <v>7506295</v>
      </c>
      <c r="E60" s="520">
        <v>1534923</v>
      </c>
      <c r="F60" s="520"/>
      <c r="G60" s="520"/>
      <c r="H60" s="495">
        <f t="shared" si="26"/>
        <v>9041218</v>
      </c>
      <c r="I60" s="495">
        <f t="shared" si="37"/>
        <v>2862378</v>
      </c>
      <c r="J60" s="520">
        <v>171529</v>
      </c>
      <c r="K60" s="520"/>
      <c r="L60" s="544"/>
      <c r="M60" s="520">
        <v>2690849</v>
      </c>
      <c r="N60" s="544"/>
      <c r="O60" s="544"/>
      <c r="P60" s="544"/>
      <c r="Q60" s="544"/>
      <c r="R60" s="598">
        <v>6178840</v>
      </c>
      <c r="S60" s="577">
        <f t="shared" si="38"/>
        <v>8869689</v>
      </c>
      <c r="T60" s="497">
        <f t="shared" si="30"/>
        <v>5.992534878342413</v>
      </c>
      <c r="U60" s="502">
        <f t="shared" si="8"/>
        <v>0.31659207863365313</v>
      </c>
      <c r="V60" s="547">
        <v>0</v>
      </c>
      <c r="W60" s="561">
        <f t="shared" si="22"/>
        <v>0</v>
      </c>
      <c r="X60" s="447">
        <f t="shared" si="31"/>
        <v>8869689</v>
      </c>
      <c r="Y60" s="447" t="str">
        <f t="shared" si="32"/>
        <v>Đ</v>
      </c>
      <c r="Z60" s="511">
        <f t="shared" si="33"/>
        <v>2690849</v>
      </c>
      <c r="AA60" s="511">
        <v>4444304</v>
      </c>
      <c r="AB60" s="512">
        <f t="shared" si="9"/>
        <v>-39.45398424590217</v>
      </c>
      <c r="AC60" s="511">
        <f t="shared" si="10"/>
        <v>-1753455</v>
      </c>
    </row>
    <row r="61" spans="1:29" ht="19.5" customHeight="1">
      <c r="A61" s="575" t="s">
        <v>61</v>
      </c>
      <c r="B61" s="576" t="s">
        <v>467</v>
      </c>
      <c r="C61" s="495">
        <f t="shared" si="34"/>
        <v>55404670</v>
      </c>
      <c r="D61" s="495">
        <f aca="true" t="shared" si="39" ref="D61:S61">SUM(D62:D66)</f>
        <v>46497444</v>
      </c>
      <c r="E61" s="495">
        <f t="shared" si="39"/>
        <v>8907226</v>
      </c>
      <c r="F61" s="495">
        <f t="shared" si="39"/>
        <v>2652</v>
      </c>
      <c r="G61" s="495">
        <f t="shared" si="39"/>
        <v>0</v>
      </c>
      <c r="H61" s="495">
        <f t="shared" si="39"/>
        <v>55402018</v>
      </c>
      <c r="I61" s="495">
        <f t="shared" si="39"/>
        <v>36079423</v>
      </c>
      <c r="J61" s="495">
        <f t="shared" si="39"/>
        <v>1169496</v>
      </c>
      <c r="K61" s="495">
        <f t="shared" si="39"/>
        <v>15683</v>
      </c>
      <c r="L61" s="495">
        <f t="shared" si="39"/>
        <v>0</v>
      </c>
      <c r="M61" s="495">
        <f t="shared" si="39"/>
        <v>34891382</v>
      </c>
      <c r="N61" s="495">
        <f t="shared" si="39"/>
        <v>2862</v>
      </c>
      <c r="O61" s="495">
        <f t="shared" si="39"/>
        <v>0</v>
      </c>
      <c r="P61" s="495">
        <f t="shared" si="39"/>
        <v>0</v>
      </c>
      <c r="Q61" s="495">
        <f t="shared" si="39"/>
        <v>0</v>
      </c>
      <c r="R61" s="495">
        <f t="shared" si="39"/>
        <v>19322595</v>
      </c>
      <c r="S61" s="495">
        <f t="shared" si="39"/>
        <v>54216839</v>
      </c>
      <c r="T61" s="574">
        <f t="shared" si="30"/>
        <v>3.284916723862241</v>
      </c>
      <c r="U61" s="502">
        <f t="shared" si="8"/>
        <v>0.6512294010662211</v>
      </c>
      <c r="V61" s="519">
        <f>SUM(V62:V66)</f>
        <v>0</v>
      </c>
      <c r="W61" s="561">
        <f t="shared" si="22"/>
        <v>0</v>
      </c>
      <c r="X61" s="447">
        <f t="shared" si="31"/>
        <v>54216839</v>
      </c>
      <c r="Y61" s="447" t="str">
        <f t="shared" si="32"/>
        <v>Đ</v>
      </c>
      <c r="Z61" s="510">
        <f t="shared" si="33"/>
        <v>34894244</v>
      </c>
      <c r="AA61" s="510" t="e">
        <f>+AA62+AA63+AA64+AA65+AA66+#REF!</f>
        <v>#REF!</v>
      </c>
      <c r="AB61" s="512" t="e">
        <f t="shared" si="9"/>
        <v>#REF!</v>
      </c>
      <c r="AC61" s="511" t="e">
        <f t="shared" si="10"/>
        <v>#REF!</v>
      </c>
    </row>
    <row r="62" spans="1:29" ht="19.5" customHeight="1">
      <c r="A62" s="500" t="s">
        <v>466</v>
      </c>
      <c r="B62" s="527" t="s">
        <v>465</v>
      </c>
      <c r="C62" s="495">
        <f t="shared" si="34"/>
        <v>18743203</v>
      </c>
      <c r="D62" s="520">
        <v>17333574</v>
      </c>
      <c r="E62" s="520">
        <v>1409629</v>
      </c>
      <c r="F62" s="520"/>
      <c r="G62" s="520"/>
      <c r="H62" s="495">
        <f t="shared" si="26"/>
        <v>18743203</v>
      </c>
      <c r="I62" s="495">
        <f t="shared" si="37"/>
        <v>10466048</v>
      </c>
      <c r="J62" s="520">
        <v>491610</v>
      </c>
      <c r="K62" s="520"/>
      <c r="L62" s="520"/>
      <c r="M62" s="520">
        <v>9974438</v>
      </c>
      <c r="N62" s="520"/>
      <c r="O62" s="520"/>
      <c r="P62" s="520"/>
      <c r="Q62" s="520"/>
      <c r="R62" s="520">
        <v>8277155</v>
      </c>
      <c r="S62" s="577">
        <f t="shared" si="38"/>
        <v>18251593</v>
      </c>
      <c r="T62" s="497">
        <f t="shared" si="30"/>
        <v>4.697188470758016</v>
      </c>
      <c r="U62" s="502">
        <f t="shared" si="8"/>
        <v>0.5583916473614462</v>
      </c>
      <c r="V62" s="548"/>
      <c r="W62" s="561">
        <f t="shared" si="22"/>
        <v>0</v>
      </c>
      <c r="X62" s="447">
        <f t="shared" si="31"/>
        <v>18251593</v>
      </c>
      <c r="Y62" s="447" t="str">
        <f t="shared" si="32"/>
        <v>Đ</v>
      </c>
      <c r="Z62" s="511">
        <f t="shared" si="33"/>
        <v>9974438</v>
      </c>
      <c r="AA62" s="511">
        <v>2355474</v>
      </c>
      <c r="AB62" s="512">
        <f t="shared" si="9"/>
        <v>323.4577838685547</v>
      </c>
      <c r="AC62" s="511">
        <f t="shared" si="10"/>
        <v>7618964</v>
      </c>
    </row>
    <row r="63" spans="1:29" ht="19.5" customHeight="1">
      <c r="A63" s="500" t="s">
        <v>464</v>
      </c>
      <c r="B63" s="527" t="s">
        <v>463</v>
      </c>
      <c r="C63" s="495">
        <f t="shared" si="34"/>
        <v>8281056</v>
      </c>
      <c r="D63" s="520">
        <v>5439500</v>
      </c>
      <c r="E63" s="520">
        <v>2841556</v>
      </c>
      <c r="F63" s="520">
        <v>2652</v>
      </c>
      <c r="G63" s="520"/>
      <c r="H63" s="495">
        <f t="shared" si="26"/>
        <v>8278404</v>
      </c>
      <c r="I63" s="495">
        <f t="shared" si="37"/>
        <v>5191515</v>
      </c>
      <c r="J63" s="520">
        <v>109693</v>
      </c>
      <c r="K63" s="520"/>
      <c r="L63" s="520"/>
      <c r="M63" s="520">
        <v>5081822</v>
      </c>
      <c r="N63" s="520"/>
      <c r="O63" s="520"/>
      <c r="P63" s="520"/>
      <c r="Q63" s="520"/>
      <c r="R63" s="520">
        <v>3086889</v>
      </c>
      <c r="S63" s="577">
        <f t="shared" si="38"/>
        <v>8168711</v>
      </c>
      <c r="T63" s="497">
        <f t="shared" si="30"/>
        <v>2.1129284996768765</v>
      </c>
      <c r="U63" s="502">
        <f t="shared" si="8"/>
        <v>0.6271154439913781</v>
      </c>
      <c r="V63" s="548"/>
      <c r="W63" s="561">
        <f t="shared" si="22"/>
        <v>0</v>
      </c>
      <c r="X63" s="447">
        <f t="shared" si="31"/>
        <v>8168711</v>
      </c>
      <c r="Y63" s="447" t="str">
        <f t="shared" si="32"/>
        <v>Đ</v>
      </c>
      <c r="Z63" s="511">
        <f t="shared" si="33"/>
        <v>5081822</v>
      </c>
      <c r="AA63" s="511">
        <v>1621692</v>
      </c>
      <c r="AB63" s="512">
        <f t="shared" si="9"/>
        <v>213.36542327396324</v>
      </c>
      <c r="AC63" s="511">
        <f t="shared" si="10"/>
        <v>3460130</v>
      </c>
    </row>
    <row r="64" spans="1:29" ht="19.5" customHeight="1">
      <c r="A64" s="500" t="s">
        <v>462</v>
      </c>
      <c r="B64" s="527" t="s">
        <v>461</v>
      </c>
      <c r="C64" s="495">
        <f t="shared" si="34"/>
        <v>7279060</v>
      </c>
      <c r="D64" s="520">
        <v>4973554</v>
      </c>
      <c r="E64" s="520">
        <v>2305506</v>
      </c>
      <c r="F64" s="520"/>
      <c r="G64" s="520"/>
      <c r="H64" s="495">
        <f t="shared" si="26"/>
        <v>7279060</v>
      </c>
      <c r="I64" s="495">
        <f t="shared" si="37"/>
        <v>4389389</v>
      </c>
      <c r="J64" s="520">
        <v>127442</v>
      </c>
      <c r="K64" s="520"/>
      <c r="L64" s="520"/>
      <c r="M64" s="598">
        <v>4259085</v>
      </c>
      <c r="N64" s="520">
        <v>2862</v>
      </c>
      <c r="O64" s="520"/>
      <c r="P64" s="520"/>
      <c r="Q64" s="520"/>
      <c r="R64" s="520">
        <v>2889671</v>
      </c>
      <c r="S64" s="577">
        <f t="shared" si="38"/>
        <v>7151618</v>
      </c>
      <c r="T64" s="497">
        <f t="shared" si="30"/>
        <v>2.9034109303139912</v>
      </c>
      <c r="U64" s="502">
        <f t="shared" si="8"/>
        <v>0.6030159113951526</v>
      </c>
      <c r="V64" s="548"/>
      <c r="W64" s="561">
        <f t="shared" si="22"/>
        <v>0</v>
      </c>
      <c r="X64" s="447">
        <f t="shared" si="31"/>
        <v>7151618</v>
      </c>
      <c r="Y64" s="447" t="str">
        <f t="shared" si="32"/>
        <v>Đ</v>
      </c>
      <c r="Z64" s="511">
        <f t="shared" si="33"/>
        <v>4261947</v>
      </c>
      <c r="AA64" s="511">
        <v>384325</v>
      </c>
      <c r="AB64" s="512">
        <f t="shared" si="9"/>
        <v>1008.9434723216028</v>
      </c>
      <c r="AC64" s="511">
        <f t="shared" si="10"/>
        <v>3877622</v>
      </c>
    </row>
    <row r="65" spans="1:29" ht="19.5" customHeight="1">
      <c r="A65" s="500" t="s">
        <v>460</v>
      </c>
      <c r="B65" s="527" t="s">
        <v>562</v>
      </c>
      <c r="C65" s="495">
        <f t="shared" si="34"/>
        <v>15717619</v>
      </c>
      <c r="D65" s="520">
        <v>14250124</v>
      </c>
      <c r="E65" s="520">
        <v>1467495</v>
      </c>
      <c r="F65" s="520"/>
      <c r="G65" s="520"/>
      <c r="H65" s="495">
        <f t="shared" si="26"/>
        <v>15717619</v>
      </c>
      <c r="I65" s="495">
        <f t="shared" si="37"/>
        <v>10857382</v>
      </c>
      <c r="J65" s="520">
        <v>352259</v>
      </c>
      <c r="K65" s="520"/>
      <c r="L65" s="520"/>
      <c r="M65" s="598">
        <v>10505123</v>
      </c>
      <c r="N65" s="520"/>
      <c r="O65" s="520"/>
      <c r="P65" s="520"/>
      <c r="Q65" s="520"/>
      <c r="R65" s="520">
        <v>4860237</v>
      </c>
      <c r="S65" s="577">
        <f t="shared" si="38"/>
        <v>15365360</v>
      </c>
      <c r="T65" s="497">
        <f t="shared" si="30"/>
        <v>3.2444193268690373</v>
      </c>
      <c r="U65" s="502">
        <f t="shared" si="8"/>
        <v>0.6907777825636313</v>
      </c>
      <c r="V65" s="548"/>
      <c r="W65" s="561">
        <f t="shared" si="22"/>
        <v>0</v>
      </c>
      <c r="X65" s="447">
        <f t="shared" si="31"/>
        <v>15365360</v>
      </c>
      <c r="Y65" s="447" t="str">
        <f t="shared" si="32"/>
        <v>Đ</v>
      </c>
      <c r="Z65" s="565">
        <f t="shared" si="33"/>
        <v>10505123</v>
      </c>
      <c r="AA65" s="565"/>
      <c r="AB65" s="512" t="e">
        <f t="shared" si="9"/>
        <v>#DIV/0!</v>
      </c>
      <c r="AC65" s="511">
        <f t="shared" si="10"/>
        <v>10505123</v>
      </c>
    </row>
    <row r="66" spans="1:29" ht="19.5" customHeight="1">
      <c r="A66" s="500" t="s">
        <v>459</v>
      </c>
      <c r="B66" s="527" t="s">
        <v>533</v>
      </c>
      <c r="C66" s="495">
        <f t="shared" si="34"/>
        <v>5383732</v>
      </c>
      <c r="D66" s="520">
        <v>4500692</v>
      </c>
      <c r="E66" s="520">
        <v>883040</v>
      </c>
      <c r="F66" s="520"/>
      <c r="G66" s="520"/>
      <c r="H66" s="495">
        <f t="shared" si="26"/>
        <v>5383732</v>
      </c>
      <c r="I66" s="495">
        <f t="shared" si="37"/>
        <v>5175089</v>
      </c>
      <c r="J66" s="520">
        <v>88492</v>
      </c>
      <c r="K66" s="520">
        <v>15683</v>
      </c>
      <c r="L66" s="520"/>
      <c r="M66" s="520">
        <v>5070914</v>
      </c>
      <c r="N66" s="520"/>
      <c r="O66" s="520"/>
      <c r="P66" s="520"/>
      <c r="Q66" s="520"/>
      <c r="R66" s="520">
        <v>208643</v>
      </c>
      <c r="S66" s="577">
        <f t="shared" si="38"/>
        <v>5279557</v>
      </c>
      <c r="T66" s="497">
        <f t="shared" si="30"/>
        <v>2.0130088583983774</v>
      </c>
      <c r="U66" s="502">
        <f t="shared" si="8"/>
        <v>0.9612456563588232</v>
      </c>
      <c r="V66" s="548"/>
      <c r="W66" s="561">
        <f t="shared" si="22"/>
        <v>0</v>
      </c>
      <c r="X66" s="447">
        <f t="shared" si="31"/>
        <v>5279557</v>
      </c>
      <c r="Y66" s="447" t="str">
        <f t="shared" si="32"/>
        <v>Đ</v>
      </c>
      <c r="Z66" s="565">
        <f t="shared" si="33"/>
        <v>5070914</v>
      </c>
      <c r="AA66" s="565">
        <v>4320969</v>
      </c>
      <c r="AB66" s="512">
        <f t="shared" si="9"/>
        <v>17.355944928093674</v>
      </c>
      <c r="AC66" s="511">
        <f t="shared" si="10"/>
        <v>749945</v>
      </c>
    </row>
    <row r="67" spans="1:29" ht="19.5" customHeight="1">
      <c r="A67" s="575" t="s">
        <v>62</v>
      </c>
      <c r="B67" s="576" t="s">
        <v>458</v>
      </c>
      <c r="C67" s="495">
        <f t="shared" si="34"/>
        <v>157813139</v>
      </c>
      <c r="D67" s="495">
        <f>SUM(D68:D72)</f>
        <v>117011258</v>
      </c>
      <c r="E67" s="495">
        <f>SUM(E68:E72)</f>
        <v>40801881</v>
      </c>
      <c r="F67" s="495">
        <f>SUM(F68:F72)</f>
        <v>0</v>
      </c>
      <c r="G67" s="495">
        <f>SUM(G68:G72)</f>
        <v>0</v>
      </c>
      <c r="H67" s="495">
        <f t="shared" si="26"/>
        <v>157813139</v>
      </c>
      <c r="I67" s="495">
        <f t="shared" si="37"/>
        <v>129584698</v>
      </c>
      <c r="J67" s="495">
        <f aca="true" t="shared" si="40" ref="J67:R67">SUM(J68:J72)</f>
        <v>5499144</v>
      </c>
      <c r="K67" s="495">
        <f t="shared" si="40"/>
        <v>864236</v>
      </c>
      <c r="L67" s="495">
        <f t="shared" si="40"/>
        <v>0</v>
      </c>
      <c r="M67" s="495">
        <f t="shared" si="40"/>
        <v>123188468</v>
      </c>
      <c r="N67" s="495">
        <f t="shared" si="40"/>
        <v>0</v>
      </c>
      <c r="O67" s="495">
        <f t="shared" si="40"/>
        <v>32850</v>
      </c>
      <c r="P67" s="495">
        <f t="shared" si="40"/>
        <v>0</v>
      </c>
      <c r="Q67" s="495">
        <f t="shared" si="40"/>
        <v>0</v>
      </c>
      <c r="R67" s="495">
        <f t="shared" si="40"/>
        <v>28228441</v>
      </c>
      <c r="S67" s="577">
        <f t="shared" si="38"/>
        <v>151449759</v>
      </c>
      <c r="T67" s="497">
        <f t="shared" si="30"/>
        <v>4.910595230927652</v>
      </c>
      <c r="U67" s="502">
        <f t="shared" si="8"/>
        <v>0.8211274347695473</v>
      </c>
      <c r="V67" s="519">
        <f>+V68+V69+V70+V71+V72</f>
        <v>0</v>
      </c>
      <c r="W67" s="561">
        <f t="shared" si="22"/>
        <v>0</v>
      </c>
      <c r="X67" s="447">
        <f t="shared" si="31"/>
        <v>151449759</v>
      </c>
      <c r="Y67" s="447" t="str">
        <f t="shared" si="32"/>
        <v>Đ</v>
      </c>
      <c r="Z67" s="510">
        <f t="shared" si="33"/>
        <v>123221318</v>
      </c>
      <c r="AA67" s="510">
        <f>+AA68+AA69+AA70+AA71+AA72</f>
        <v>46252350</v>
      </c>
      <c r="AB67" s="512">
        <f t="shared" si="9"/>
        <v>166.4109347957455</v>
      </c>
      <c r="AC67" s="511">
        <f t="shared" si="10"/>
        <v>76968968</v>
      </c>
    </row>
    <row r="68" spans="1:29" ht="19.5" customHeight="1">
      <c r="A68" s="500" t="s">
        <v>457</v>
      </c>
      <c r="B68" s="580" t="s">
        <v>453</v>
      </c>
      <c r="C68" s="495">
        <f t="shared" si="34"/>
        <v>13180818</v>
      </c>
      <c r="D68" s="599">
        <v>12970741</v>
      </c>
      <c r="E68" s="599">
        <v>210077</v>
      </c>
      <c r="F68" s="599"/>
      <c r="G68" s="599"/>
      <c r="H68" s="495">
        <f t="shared" si="26"/>
        <v>13180818</v>
      </c>
      <c r="I68" s="495">
        <f t="shared" si="37"/>
        <v>1480931</v>
      </c>
      <c r="J68" s="599">
        <v>12297</v>
      </c>
      <c r="K68" s="599"/>
      <c r="L68" s="599"/>
      <c r="M68" s="599">
        <v>1468634</v>
      </c>
      <c r="N68" s="599"/>
      <c r="O68" s="599"/>
      <c r="P68" s="599"/>
      <c r="Q68" s="599"/>
      <c r="R68" s="599">
        <v>11699887</v>
      </c>
      <c r="S68" s="577">
        <f t="shared" si="38"/>
        <v>13168521</v>
      </c>
      <c r="T68" s="497">
        <f t="shared" si="30"/>
        <v>0.830356039545394</v>
      </c>
      <c r="U68" s="502">
        <f t="shared" si="8"/>
        <v>0.1123550146887697</v>
      </c>
      <c r="V68" s="552"/>
      <c r="W68" s="561">
        <f t="shared" si="22"/>
        <v>0</v>
      </c>
      <c r="X68" s="447">
        <f t="shared" si="31"/>
        <v>13168521</v>
      </c>
      <c r="Y68" s="447" t="str">
        <f t="shared" si="32"/>
        <v>Đ</v>
      </c>
      <c r="Z68" s="511">
        <f t="shared" si="33"/>
        <v>1468634</v>
      </c>
      <c r="AA68" s="511">
        <v>11705100</v>
      </c>
      <c r="AB68" s="512">
        <f t="shared" si="9"/>
        <v>-87.45304183646445</v>
      </c>
      <c r="AC68" s="511">
        <f t="shared" si="10"/>
        <v>-10236466</v>
      </c>
    </row>
    <row r="69" spans="1:29" ht="19.5" customHeight="1">
      <c r="A69" s="500" t="s">
        <v>456</v>
      </c>
      <c r="B69" s="581" t="s">
        <v>552</v>
      </c>
      <c r="C69" s="495">
        <f t="shared" si="34"/>
        <v>65505194</v>
      </c>
      <c r="D69" s="600">
        <v>27586089</v>
      </c>
      <c r="E69" s="600">
        <v>37919105</v>
      </c>
      <c r="F69" s="600"/>
      <c r="G69" s="600"/>
      <c r="H69" s="495">
        <f t="shared" si="26"/>
        <v>65505194</v>
      </c>
      <c r="I69" s="495">
        <f t="shared" si="37"/>
        <v>59153836</v>
      </c>
      <c r="J69" s="600">
        <v>1420134</v>
      </c>
      <c r="K69" s="600">
        <v>6000</v>
      </c>
      <c r="L69" s="600"/>
      <c r="M69" s="600">
        <f>57727700+2</f>
        <v>57727702</v>
      </c>
      <c r="N69" s="600"/>
      <c r="O69" s="600"/>
      <c r="P69" s="600"/>
      <c r="Q69" s="600"/>
      <c r="R69" s="600">
        <v>6351358</v>
      </c>
      <c r="S69" s="577">
        <f t="shared" si="38"/>
        <v>64079060</v>
      </c>
      <c r="T69" s="497">
        <f t="shared" si="30"/>
        <v>2.4108901407509733</v>
      </c>
      <c r="U69" s="502">
        <f t="shared" si="8"/>
        <v>0.9030403909650279</v>
      </c>
      <c r="V69" s="553"/>
      <c r="W69" s="561">
        <f t="shared" si="22"/>
        <v>0</v>
      </c>
      <c r="X69" s="447">
        <f t="shared" si="31"/>
        <v>64079060</v>
      </c>
      <c r="Y69" s="447" t="str">
        <f t="shared" si="32"/>
        <v>Đ</v>
      </c>
      <c r="Z69" s="511">
        <f t="shared" si="33"/>
        <v>57727702</v>
      </c>
      <c r="AA69" s="511">
        <v>4388460</v>
      </c>
      <c r="AB69" s="512">
        <f t="shared" si="9"/>
        <v>1215.443276229019</v>
      </c>
      <c r="AC69" s="511">
        <f t="shared" si="10"/>
        <v>53339242</v>
      </c>
    </row>
    <row r="70" spans="1:29" ht="19.5" customHeight="1">
      <c r="A70" s="500" t="s">
        <v>455</v>
      </c>
      <c r="B70" s="580" t="s">
        <v>553</v>
      </c>
      <c r="C70" s="495">
        <f t="shared" si="34"/>
        <v>40511689</v>
      </c>
      <c r="D70" s="599">
        <v>39804082</v>
      </c>
      <c r="E70" s="599">
        <v>707607</v>
      </c>
      <c r="F70" s="599"/>
      <c r="G70" s="599"/>
      <c r="H70" s="495">
        <f t="shared" si="26"/>
        <v>40511689</v>
      </c>
      <c r="I70" s="495">
        <f t="shared" si="37"/>
        <v>33124068</v>
      </c>
      <c r="J70" s="599">
        <v>329937</v>
      </c>
      <c r="K70" s="599">
        <v>788748</v>
      </c>
      <c r="L70" s="599"/>
      <c r="M70" s="599">
        <v>32005383</v>
      </c>
      <c r="N70" s="599"/>
      <c r="O70" s="599"/>
      <c r="P70" s="599"/>
      <c r="Q70" s="599"/>
      <c r="R70" s="599">
        <v>7387621</v>
      </c>
      <c r="S70" s="577">
        <f t="shared" si="38"/>
        <v>39393004</v>
      </c>
      <c r="T70" s="497">
        <f t="shared" si="30"/>
        <v>3.3772572861521715</v>
      </c>
      <c r="U70" s="502">
        <f t="shared" si="8"/>
        <v>0.8176422365406686</v>
      </c>
      <c r="V70" s="552"/>
      <c r="W70" s="561">
        <f t="shared" si="22"/>
        <v>0</v>
      </c>
      <c r="X70" s="447">
        <f t="shared" si="31"/>
        <v>39393004</v>
      </c>
      <c r="Y70" s="447" t="str">
        <f t="shared" si="32"/>
        <v>Đ</v>
      </c>
      <c r="Z70" s="511">
        <f t="shared" si="33"/>
        <v>32005383</v>
      </c>
      <c r="AA70" s="511">
        <v>4848611</v>
      </c>
      <c r="AB70" s="512">
        <f t="shared" si="9"/>
        <v>560.0938495581519</v>
      </c>
      <c r="AC70" s="511">
        <f t="shared" si="10"/>
        <v>27156772</v>
      </c>
    </row>
    <row r="71" spans="1:29" ht="19.5" customHeight="1">
      <c r="A71" s="500" t="s">
        <v>452</v>
      </c>
      <c r="B71" s="581" t="s">
        <v>554</v>
      </c>
      <c r="C71" s="495">
        <f t="shared" si="34"/>
        <v>22555647</v>
      </c>
      <c r="D71" s="601">
        <v>21359403</v>
      </c>
      <c r="E71" s="601">
        <v>1196244</v>
      </c>
      <c r="F71" s="601"/>
      <c r="G71" s="601"/>
      <c r="H71" s="495">
        <f t="shared" si="26"/>
        <v>22555647</v>
      </c>
      <c r="I71" s="495">
        <f t="shared" si="37"/>
        <v>21242636</v>
      </c>
      <c r="J71" s="601">
        <v>3611723</v>
      </c>
      <c r="K71" s="601">
        <v>69488</v>
      </c>
      <c r="L71" s="601"/>
      <c r="M71" s="601">
        <f>17561426-1</f>
        <v>17561425</v>
      </c>
      <c r="N71" s="601"/>
      <c r="O71" s="601"/>
      <c r="P71" s="601"/>
      <c r="Q71" s="601"/>
      <c r="R71" s="601">
        <v>1313011</v>
      </c>
      <c r="S71" s="577">
        <f t="shared" si="38"/>
        <v>18874436</v>
      </c>
      <c r="T71" s="497">
        <f t="shared" si="30"/>
        <v>17.329351216110844</v>
      </c>
      <c r="U71" s="502">
        <f t="shared" si="8"/>
        <v>0.9417879256578187</v>
      </c>
      <c r="V71" s="552"/>
      <c r="W71" s="561">
        <f t="shared" si="22"/>
        <v>0</v>
      </c>
      <c r="X71" s="447">
        <f t="shared" si="31"/>
        <v>18874436</v>
      </c>
      <c r="Y71" s="447" t="str">
        <f t="shared" si="32"/>
        <v>Đ</v>
      </c>
      <c r="Z71" s="511">
        <f t="shared" si="33"/>
        <v>17561425</v>
      </c>
      <c r="AA71" s="511">
        <v>19385226</v>
      </c>
      <c r="AB71" s="512">
        <f t="shared" si="9"/>
        <v>-9.40820086389501</v>
      </c>
      <c r="AC71" s="511">
        <f t="shared" si="10"/>
        <v>-1823801</v>
      </c>
    </row>
    <row r="72" spans="1:29" ht="19.5" customHeight="1">
      <c r="A72" s="500" t="s">
        <v>555</v>
      </c>
      <c r="B72" s="581" t="s">
        <v>556</v>
      </c>
      <c r="C72" s="495">
        <f t="shared" si="34"/>
        <v>16059791</v>
      </c>
      <c r="D72" s="599">
        <v>15290943</v>
      </c>
      <c r="E72" s="599">
        <v>768848</v>
      </c>
      <c r="F72" s="599"/>
      <c r="G72" s="599"/>
      <c r="H72" s="495">
        <f t="shared" si="26"/>
        <v>16059791</v>
      </c>
      <c r="I72" s="495">
        <f t="shared" si="37"/>
        <v>14583227</v>
      </c>
      <c r="J72" s="599">
        <v>125053</v>
      </c>
      <c r="K72" s="599"/>
      <c r="L72" s="599"/>
      <c r="M72" s="599">
        <f>14425325-1</f>
        <v>14425324</v>
      </c>
      <c r="N72" s="599"/>
      <c r="O72" s="599">
        <v>32850</v>
      </c>
      <c r="P72" s="599"/>
      <c r="Q72" s="599"/>
      <c r="R72" s="599">
        <v>1476564</v>
      </c>
      <c r="S72" s="577">
        <f t="shared" si="38"/>
        <v>15934738</v>
      </c>
      <c r="T72" s="497">
        <f t="shared" si="30"/>
        <v>0.8575125382057072</v>
      </c>
      <c r="U72" s="502">
        <f t="shared" si="8"/>
        <v>0.9080583302734139</v>
      </c>
      <c r="V72" s="552"/>
      <c r="W72" s="561">
        <f t="shared" si="22"/>
        <v>0</v>
      </c>
      <c r="X72" s="447">
        <f t="shared" si="31"/>
        <v>15934738</v>
      </c>
      <c r="Y72" s="447" t="str">
        <f t="shared" si="32"/>
        <v>Đ</v>
      </c>
      <c r="Z72" s="511">
        <f t="shared" si="33"/>
        <v>14458174</v>
      </c>
      <c r="AA72" s="511">
        <v>5924953</v>
      </c>
      <c r="AB72" s="512">
        <f t="shared" si="9"/>
        <v>144.02175004594972</v>
      </c>
      <c r="AC72" s="511">
        <f t="shared" si="10"/>
        <v>8533221</v>
      </c>
    </row>
    <row r="73" spans="1:29" ht="19.5" customHeight="1">
      <c r="A73" s="575" t="s">
        <v>63</v>
      </c>
      <c r="B73" s="576" t="s">
        <v>451</v>
      </c>
      <c r="C73" s="495">
        <f t="shared" si="34"/>
        <v>109334975</v>
      </c>
      <c r="D73" s="495">
        <f>SUM(D74:D78)</f>
        <v>58958406</v>
      </c>
      <c r="E73" s="495">
        <f>SUM(E74:E78)</f>
        <v>50376569</v>
      </c>
      <c r="F73" s="495">
        <f>SUM(F74:F78)</f>
        <v>0</v>
      </c>
      <c r="G73" s="495">
        <f>SUM(G74:G78)</f>
        <v>0</v>
      </c>
      <c r="H73" s="495">
        <f t="shared" si="26"/>
        <v>109334975</v>
      </c>
      <c r="I73" s="495">
        <f t="shared" si="37"/>
        <v>68419863</v>
      </c>
      <c r="J73" s="495">
        <f>SUM(J74:J78)</f>
        <v>1308934</v>
      </c>
      <c r="K73" s="495">
        <f>SUM(K74:K78)</f>
        <v>182000</v>
      </c>
      <c r="L73" s="495">
        <f>SUM(L74:L78)</f>
        <v>0</v>
      </c>
      <c r="M73" s="495">
        <f aca="true" t="shared" si="41" ref="M73:R73">SUM(M74:M78)</f>
        <v>34228966</v>
      </c>
      <c r="N73" s="495">
        <f t="shared" si="41"/>
        <v>286065</v>
      </c>
      <c r="O73" s="495">
        <f t="shared" si="41"/>
        <v>0</v>
      </c>
      <c r="P73" s="495">
        <f t="shared" si="41"/>
        <v>0</v>
      </c>
      <c r="Q73" s="495">
        <f t="shared" si="41"/>
        <v>32413898</v>
      </c>
      <c r="R73" s="495">
        <f t="shared" si="41"/>
        <v>40915112</v>
      </c>
      <c r="S73" s="577">
        <f t="shared" si="38"/>
        <v>107844041</v>
      </c>
      <c r="T73" s="574">
        <f t="shared" si="30"/>
        <v>2.1790952723772627</v>
      </c>
      <c r="U73" s="502">
        <f t="shared" si="8"/>
        <v>0.6257820336081844</v>
      </c>
      <c r="V73" s="519">
        <f>SUM(V74:V78)</f>
        <v>0</v>
      </c>
      <c r="W73" s="561">
        <f t="shared" si="22"/>
        <v>0</v>
      </c>
      <c r="X73" s="447">
        <f t="shared" si="31"/>
        <v>107844041</v>
      </c>
      <c r="Y73" s="447" t="str">
        <f t="shared" si="32"/>
        <v>Đ</v>
      </c>
      <c r="Z73" s="510">
        <f t="shared" si="33"/>
        <v>66928929</v>
      </c>
      <c r="AA73" s="510">
        <f>+AA74+AA75+AA77+AA78</f>
        <v>8192858</v>
      </c>
      <c r="AB73" s="512">
        <f t="shared" si="9"/>
        <v>716.9179668438047</v>
      </c>
      <c r="AC73" s="511">
        <f t="shared" si="10"/>
        <v>58736071</v>
      </c>
    </row>
    <row r="74" spans="1:29" ht="19.5" customHeight="1">
      <c r="A74" s="500" t="s">
        <v>450</v>
      </c>
      <c r="B74" s="527" t="s">
        <v>449</v>
      </c>
      <c r="C74" s="495">
        <f t="shared" si="34"/>
        <v>2309535</v>
      </c>
      <c r="D74" s="621">
        <v>2304101</v>
      </c>
      <c r="E74" s="623">
        <v>5434</v>
      </c>
      <c r="F74" s="623"/>
      <c r="G74" s="520"/>
      <c r="H74" s="495">
        <f t="shared" si="26"/>
        <v>2309535</v>
      </c>
      <c r="I74" s="495">
        <f t="shared" si="37"/>
        <v>224584</v>
      </c>
      <c r="J74" s="623">
        <f>84776+225</f>
        <v>85001</v>
      </c>
      <c r="K74" s="623"/>
      <c r="L74" s="623"/>
      <c r="M74" s="623">
        <v>139583</v>
      </c>
      <c r="N74" s="623">
        <v>0</v>
      </c>
      <c r="O74" s="623"/>
      <c r="P74" s="623"/>
      <c r="Q74" s="623">
        <v>0</v>
      </c>
      <c r="R74" s="622">
        <v>2084951</v>
      </c>
      <c r="S74" s="577">
        <f t="shared" si="38"/>
        <v>2224534</v>
      </c>
      <c r="T74" s="497">
        <f t="shared" si="30"/>
        <v>37.84819933744167</v>
      </c>
      <c r="U74" s="502">
        <f t="shared" si="8"/>
        <v>0.09724208552803919</v>
      </c>
      <c r="V74" s="540"/>
      <c r="W74" s="561">
        <f t="shared" si="22"/>
        <v>0</v>
      </c>
      <c r="X74" s="447">
        <f t="shared" si="31"/>
        <v>2224534</v>
      </c>
      <c r="Y74" s="447" t="str">
        <f t="shared" si="32"/>
        <v>Đ</v>
      </c>
      <c r="Z74" s="511">
        <f t="shared" si="33"/>
        <v>139583</v>
      </c>
      <c r="AA74" s="511">
        <v>380833</v>
      </c>
      <c r="AB74" s="512">
        <f t="shared" si="9"/>
        <v>-63.347976672189645</v>
      </c>
      <c r="AC74" s="511">
        <f t="shared" si="10"/>
        <v>-241250</v>
      </c>
    </row>
    <row r="75" spans="1:29" ht="19.5" customHeight="1">
      <c r="A75" s="500" t="s">
        <v>448</v>
      </c>
      <c r="B75" s="527" t="s">
        <v>447</v>
      </c>
      <c r="C75" s="495">
        <f t="shared" si="34"/>
        <v>54608921</v>
      </c>
      <c r="D75" s="621">
        <v>19670123</v>
      </c>
      <c r="E75" s="623">
        <v>34938798</v>
      </c>
      <c r="F75" s="623"/>
      <c r="G75" s="520"/>
      <c r="H75" s="495">
        <f t="shared" si="26"/>
        <v>54608921</v>
      </c>
      <c r="I75" s="495">
        <f t="shared" si="37"/>
        <v>38538943</v>
      </c>
      <c r="J75" s="623">
        <v>400693</v>
      </c>
      <c r="K75" s="623"/>
      <c r="L75" s="623"/>
      <c r="M75" s="623">
        <f>5330287+108000</f>
        <v>5438287</v>
      </c>
      <c r="N75" s="623">
        <v>286065</v>
      </c>
      <c r="O75" s="623"/>
      <c r="P75" s="623"/>
      <c r="Q75" s="623">
        <v>32413898</v>
      </c>
      <c r="R75" s="622">
        <v>16069978</v>
      </c>
      <c r="S75" s="577">
        <f t="shared" si="38"/>
        <v>54208228</v>
      </c>
      <c r="T75" s="497">
        <f t="shared" si="30"/>
        <v>1.0397093661857826</v>
      </c>
      <c r="U75" s="502">
        <f t="shared" si="8"/>
        <v>0.7057261395074992</v>
      </c>
      <c r="V75" s="540"/>
      <c r="W75" s="561">
        <f t="shared" si="22"/>
        <v>0</v>
      </c>
      <c r="X75" s="447">
        <f t="shared" si="31"/>
        <v>54208228</v>
      </c>
      <c r="Y75" s="447" t="str">
        <f t="shared" si="32"/>
        <v>Đ</v>
      </c>
      <c r="Z75" s="511">
        <f t="shared" si="33"/>
        <v>38138250</v>
      </c>
      <c r="AA75" s="511">
        <v>1478545</v>
      </c>
      <c r="AB75" s="512">
        <f t="shared" si="9"/>
        <v>2479.4446567402415</v>
      </c>
      <c r="AC75" s="511">
        <f t="shared" si="10"/>
        <v>36659705</v>
      </c>
    </row>
    <row r="76" spans="1:29" ht="19.5" customHeight="1">
      <c r="A76" s="500" t="s">
        <v>446</v>
      </c>
      <c r="B76" s="527" t="s">
        <v>558</v>
      </c>
      <c r="C76" s="495">
        <f t="shared" si="34"/>
        <v>11788470</v>
      </c>
      <c r="D76" s="621">
        <v>7582147</v>
      </c>
      <c r="E76" s="623">
        <v>4206323</v>
      </c>
      <c r="F76" s="623"/>
      <c r="G76" s="520"/>
      <c r="H76" s="495">
        <f t="shared" si="26"/>
        <v>11788470</v>
      </c>
      <c r="I76" s="495">
        <f t="shared" si="37"/>
        <v>8766552</v>
      </c>
      <c r="J76" s="623">
        <v>510718</v>
      </c>
      <c r="K76" s="623">
        <v>182000</v>
      </c>
      <c r="L76" s="623"/>
      <c r="M76" s="623">
        <v>8073834</v>
      </c>
      <c r="N76" s="623"/>
      <c r="O76" s="623"/>
      <c r="P76" s="623"/>
      <c r="Q76" s="623"/>
      <c r="R76" s="622">
        <v>3021918</v>
      </c>
      <c r="S76" s="577">
        <f t="shared" si="38"/>
        <v>11095752</v>
      </c>
      <c r="T76" s="497">
        <f t="shared" si="30"/>
        <v>7.9018295904706894</v>
      </c>
      <c r="U76" s="502">
        <f t="shared" si="8"/>
        <v>0.7436547745381716</v>
      </c>
      <c r="V76" s="540"/>
      <c r="W76" s="561">
        <f t="shared" si="22"/>
        <v>0</v>
      </c>
      <c r="X76" s="447">
        <f t="shared" si="31"/>
        <v>11095752</v>
      </c>
      <c r="Y76" s="447" t="str">
        <f t="shared" si="32"/>
        <v>Đ</v>
      </c>
      <c r="Z76" s="511"/>
      <c r="AA76" s="511"/>
      <c r="AB76" s="512"/>
      <c r="AC76" s="511"/>
    </row>
    <row r="77" spans="1:29" ht="19.5" customHeight="1">
      <c r="A77" s="500" t="s">
        <v>445</v>
      </c>
      <c r="B77" s="527" t="s">
        <v>444</v>
      </c>
      <c r="C77" s="495">
        <f t="shared" si="34"/>
        <v>31569039</v>
      </c>
      <c r="D77" s="620">
        <v>21543233</v>
      </c>
      <c r="E77" s="520">
        <v>10025806</v>
      </c>
      <c r="F77" s="623"/>
      <c r="G77" s="585"/>
      <c r="H77" s="495">
        <f t="shared" si="26"/>
        <v>31569039</v>
      </c>
      <c r="I77" s="495">
        <f t="shared" si="37"/>
        <v>14514366</v>
      </c>
      <c r="J77" s="623">
        <v>241860</v>
      </c>
      <c r="K77" s="520"/>
      <c r="L77" s="520"/>
      <c r="M77" s="520">
        <v>14272506</v>
      </c>
      <c r="N77" s="520"/>
      <c r="O77" s="520"/>
      <c r="P77" s="520"/>
      <c r="Q77" s="520"/>
      <c r="R77" s="520">
        <v>17054673</v>
      </c>
      <c r="S77" s="577">
        <f t="shared" si="38"/>
        <v>31327179</v>
      </c>
      <c r="T77" s="497">
        <f t="shared" si="30"/>
        <v>1.666349050313324</v>
      </c>
      <c r="U77" s="502">
        <f t="shared" si="8"/>
        <v>0.4597658484314331</v>
      </c>
      <c r="V77" s="540"/>
      <c r="W77" s="561">
        <f t="shared" si="22"/>
        <v>0</v>
      </c>
      <c r="X77" s="447">
        <f t="shared" si="31"/>
        <v>31327179</v>
      </c>
      <c r="Y77" s="447" t="str">
        <f t="shared" si="32"/>
        <v>Đ</v>
      </c>
      <c r="Z77" s="511">
        <f t="shared" si="33"/>
        <v>14272506</v>
      </c>
      <c r="AA77" s="511">
        <v>2577813</v>
      </c>
      <c r="AB77" s="512">
        <f t="shared" si="9"/>
        <v>453.6672365295698</v>
      </c>
      <c r="AC77" s="511">
        <f t="shared" si="10"/>
        <v>11694693</v>
      </c>
    </row>
    <row r="78" spans="1:29" ht="19.5" customHeight="1">
      <c r="A78" s="500" t="s">
        <v>557</v>
      </c>
      <c r="B78" s="619" t="s">
        <v>532</v>
      </c>
      <c r="C78" s="495">
        <f t="shared" si="34"/>
        <v>9059010</v>
      </c>
      <c r="D78" s="621">
        <v>7858802</v>
      </c>
      <c r="E78" s="623">
        <v>1200208</v>
      </c>
      <c r="F78" s="623"/>
      <c r="G78" s="520"/>
      <c r="H78" s="495">
        <f t="shared" si="26"/>
        <v>9059010</v>
      </c>
      <c r="I78" s="495">
        <f t="shared" si="37"/>
        <v>6375418</v>
      </c>
      <c r="J78" s="623">
        <v>70662</v>
      </c>
      <c r="K78" s="623"/>
      <c r="L78" s="623"/>
      <c r="M78" s="623">
        <v>6304756</v>
      </c>
      <c r="N78" s="623"/>
      <c r="O78" s="623"/>
      <c r="P78" s="623"/>
      <c r="Q78" s="623"/>
      <c r="R78" s="622">
        <v>2683592</v>
      </c>
      <c r="S78" s="577">
        <f t="shared" si="38"/>
        <v>8988348</v>
      </c>
      <c r="T78" s="497">
        <f t="shared" si="30"/>
        <v>1.1083508563673785</v>
      </c>
      <c r="U78" s="502">
        <f t="shared" si="8"/>
        <v>0.7037654224909786</v>
      </c>
      <c r="V78" s="540"/>
      <c r="W78" s="561">
        <f t="shared" si="22"/>
        <v>0</v>
      </c>
      <c r="X78" s="447">
        <f t="shared" si="31"/>
        <v>8988348</v>
      </c>
      <c r="Y78" s="447" t="str">
        <f t="shared" si="32"/>
        <v>Đ</v>
      </c>
      <c r="Z78" s="511">
        <f t="shared" si="33"/>
        <v>6304756</v>
      </c>
      <c r="AA78" s="511">
        <v>3755667</v>
      </c>
      <c r="AB78" s="512">
        <f t="shared" si="9"/>
        <v>67.87313678236117</v>
      </c>
      <c r="AC78" s="511">
        <f t="shared" si="10"/>
        <v>2549089</v>
      </c>
    </row>
    <row r="79" spans="1:22" s="379" customFormat="1" ht="29.25" customHeight="1">
      <c r="A79" s="1036"/>
      <c r="B79" s="1036"/>
      <c r="C79" s="1036"/>
      <c r="D79" s="1036"/>
      <c r="E79" s="1036"/>
      <c r="F79" s="419"/>
      <c r="G79" s="390"/>
      <c r="H79" s="498"/>
      <c r="I79" s="390"/>
      <c r="J79" s="390"/>
      <c r="K79" s="491"/>
      <c r="L79" s="390"/>
      <c r="M79" s="493"/>
      <c r="N79" s="390"/>
      <c r="O79" s="1034" t="str">
        <f>'Thong tin'!B8</f>
        <v>Trà Vinh, ngày 03 tháng12 năm 2019</v>
      </c>
      <c r="P79" s="1034"/>
      <c r="Q79" s="1034"/>
      <c r="R79" s="1034"/>
      <c r="S79" s="1034"/>
      <c r="T79" s="1034"/>
      <c r="U79" s="452"/>
      <c r="V79" s="452"/>
    </row>
    <row r="80" spans="1:22" s="412" customFormat="1" ht="19.5" customHeight="1">
      <c r="A80" s="402"/>
      <c r="B80" s="1035" t="s">
        <v>4</v>
      </c>
      <c r="C80" s="1035"/>
      <c r="D80" s="1035"/>
      <c r="E80" s="1035"/>
      <c r="F80" s="401"/>
      <c r="G80" s="401"/>
      <c r="H80" s="401"/>
      <c r="I80" s="401"/>
      <c r="J80" s="401"/>
      <c r="K80" s="401"/>
      <c r="L80" s="401"/>
      <c r="M80" s="401"/>
      <c r="N80" s="401"/>
      <c r="O80" s="1039" t="str">
        <f>'Thong tin'!B7</f>
        <v>PHÓ CỤC TRƯỞNG</v>
      </c>
      <c r="P80" s="1039"/>
      <c r="Q80" s="1039"/>
      <c r="R80" s="1039"/>
      <c r="S80" s="1039"/>
      <c r="T80" s="1039"/>
      <c r="U80" s="451"/>
      <c r="V80" s="451"/>
    </row>
    <row r="81" spans="1:23" ht="18.75">
      <c r="A81" s="387"/>
      <c r="B81" s="389"/>
      <c r="C81" s="439"/>
      <c r="D81" s="439"/>
      <c r="E81" s="441"/>
      <c r="F81" s="441"/>
      <c r="G81" s="441"/>
      <c r="H81" s="441"/>
      <c r="I81" s="441"/>
      <c r="J81" s="441"/>
      <c r="K81" s="441"/>
      <c r="L81" s="441"/>
      <c r="M81" s="441"/>
      <c r="N81" s="441"/>
      <c r="O81" s="441"/>
      <c r="P81" s="441"/>
      <c r="Q81" s="441"/>
      <c r="R81" s="441"/>
      <c r="S81" s="441"/>
      <c r="T81" s="443"/>
      <c r="U81" s="443"/>
      <c r="V81" s="550"/>
      <c r="W81" s="445"/>
    </row>
    <row r="82" spans="1:22" ht="18.75">
      <c r="A82" s="387"/>
      <c r="B82" s="387"/>
      <c r="C82" s="444"/>
      <c r="D82" s="444"/>
      <c r="E82" s="444"/>
      <c r="F82" s="444"/>
      <c r="G82" s="444"/>
      <c r="H82" s="444"/>
      <c r="I82" s="444"/>
      <c r="J82" s="444"/>
      <c r="K82" s="444"/>
      <c r="L82" s="444"/>
      <c r="M82" s="444"/>
      <c r="N82" s="444"/>
      <c r="O82" s="444"/>
      <c r="P82" s="444"/>
      <c r="Q82" s="444"/>
      <c r="R82" s="444"/>
      <c r="S82" s="444"/>
      <c r="T82" s="444"/>
      <c r="U82" s="518"/>
      <c r="V82" s="518"/>
    </row>
    <row r="83" spans="1:22" ht="15.75">
      <c r="A83" s="386"/>
      <c r="B83" s="1047"/>
      <c r="C83" s="1047"/>
      <c r="D83" s="1047"/>
      <c r="E83" s="410"/>
      <c r="F83" s="410"/>
      <c r="G83" s="410"/>
      <c r="H83" s="410"/>
      <c r="I83" s="410"/>
      <c r="J83" s="410"/>
      <c r="K83" s="410"/>
      <c r="L83" s="410"/>
      <c r="M83" s="410"/>
      <c r="N83" s="410"/>
      <c r="O83" s="410"/>
      <c r="P83" s="410"/>
      <c r="Q83" s="1047"/>
      <c r="R83" s="1047"/>
      <c r="S83" s="1047"/>
      <c r="T83" s="386"/>
      <c r="U83" s="386"/>
      <c r="V83" s="386"/>
    </row>
    <row r="84" spans="1:22" ht="15.75" customHeight="1">
      <c r="A84" s="411"/>
      <c r="B84" s="386"/>
      <c r="C84" s="494"/>
      <c r="D84" s="494"/>
      <c r="E84" s="494"/>
      <c r="F84" s="494"/>
      <c r="G84" s="499"/>
      <c r="H84" s="494"/>
      <c r="I84" s="494"/>
      <c r="J84" s="494"/>
      <c r="K84" s="494"/>
      <c r="L84" s="494"/>
      <c r="M84" s="494"/>
      <c r="N84" s="494"/>
      <c r="O84" s="410"/>
      <c r="P84" s="410"/>
      <c r="Q84" s="410"/>
      <c r="R84" s="448"/>
      <c r="S84" s="386"/>
      <c r="T84" s="386"/>
      <c r="U84" s="386"/>
      <c r="V84" s="386"/>
    </row>
    <row r="85" spans="1:22" ht="15.75" customHeight="1">
      <c r="A85" s="386"/>
      <c r="B85" s="569"/>
      <c r="C85" s="569"/>
      <c r="D85" s="569"/>
      <c r="E85" s="569"/>
      <c r="F85" s="569"/>
      <c r="G85" s="569"/>
      <c r="H85" s="569"/>
      <c r="I85" s="569"/>
      <c r="J85" s="569"/>
      <c r="K85" s="569"/>
      <c r="L85" s="569"/>
      <c r="M85" s="569"/>
      <c r="N85" s="569"/>
      <c r="O85" s="569"/>
      <c r="P85" s="569"/>
      <c r="Q85" s="410"/>
      <c r="R85" s="410"/>
      <c r="S85" s="386"/>
      <c r="T85" s="386"/>
      <c r="U85" s="386"/>
      <c r="V85" s="386"/>
    </row>
    <row r="86" spans="1:22" ht="15.75">
      <c r="A86" s="409"/>
      <c r="B86" s="409"/>
      <c r="C86" s="409"/>
      <c r="D86" s="409"/>
      <c r="E86" s="409"/>
      <c r="F86" s="409"/>
      <c r="G86" s="409"/>
      <c r="H86" s="409"/>
      <c r="I86" s="409"/>
      <c r="J86" s="409"/>
      <c r="K86" s="409"/>
      <c r="L86" s="409"/>
      <c r="M86" s="409"/>
      <c r="N86" s="409"/>
      <c r="O86" s="409"/>
      <c r="P86" s="409"/>
      <c r="Q86" s="409"/>
      <c r="R86" s="386"/>
      <c r="S86" s="386"/>
      <c r="T86" s="386"/>
      <c r="U86" s="386"/>
      <c r="V86" s="386"/>
    </row>
    <row r="87" spans="1:22" ht="18.75">
      <c r="A87" s="386"/>
      <c r="B87" s="1038" t="str">
        <f>'Thong tin'!B5</f>
        <v>Nhan Quốc Hải</v>
      </c>
      <c r="C87" s="1038"/>
      <c r="D87" s="1038"/>
      <c r="E87" s="1038"/>
      <c r="F87" s="386"/>
      <c r="G87" s="386"/>
      <c r="H87" s="386"/>
      <c r="I87" s="386"/>
      <c r="J87" s="386"/>
      <c r="K87" s="386"/>
      <c r="L87" s="386"/>
      <c r="M87" s="386"/>
      <c r="N87" s="386"/>
      <c r="O87" s="1038" t="str">
        <f>'Thong tin'!B6</f>
        <v>Nguyễn Minh Khiêm</v>
      </c>
      <c r="P87" s="1038"/>
      <c r="Q87" s="1038"/>
      <c r="R87" s="1038"/>
      <c r="S87" s="1038"/>
      <c r="T87" s="1038"/>
      <c r="U87" s="450"/>
      <c r="V87" s="450"/>
    </row>
    <row r="88" spans="2:22" ht="18.75">
      <c r="B88" s="1044"/>
      <c r="C88" s="1044"/>
      <c r="D88" s="1044"/>
      <c r="E88" s="1044"/>
      <c r="P88" s="1044"/>
      <c r="Q88" s="1044"/>
      <c r="R88" s="1044"/>
      <c r="S88" s="1044"/>
      <c r="T88" s="1045"/>
      <c r="U88" s="517"/>
      <c r="V88" s="517"/>
    </row>
  </sheetData>
  <sheetProtection/>
  <mergeCells count="37">
    <mergeCell ref="A6:B9"/>
    <mergeCell ref="A10:B10"/>
    <mergeCell ref="Q5:T5"/>
    <mergeCell ref="D7:E7"/>
    <mergeCell ref="D8:D9"/>
    <mergeCell ref="E8:E9"/>
    <mergeCell ref="H6:R6"/>
    <mergeCell ref="C6:E6"/>
    <mergeCell ref="C7:C9"/>
    <mergeCell ref="U6:U9"/>
    <mergeCell ref="R7:R9"/>
    <mergeCell ref="I8:I9"/>
    <mergeCell ref="J8:Q8"/>
    <mergeCell ref="H7:H9"/>
    <mergeCell ref="E1:P1"/>
    <mergeCell ref="E2:P2"/>
    <mergeCell ref="E3:P3"/>
    <mergeCell ref="F6:F9"/>
    <mergeCell ref="G6:G9"/>
    <mergeCell ref="A2:D2"/>
    <mergeCell ref="Q2:T2"/>
    <mergeCell ref="Q4:T4"/>
    <mergeCell ref="O80:T80"/>
    <mergeCell ref="T6:T9"/>
    <mergeCell ref="I7:Q7"/>
    <mergeCell ref="O79:T79"/>
    <mergeCell ref="S6:S9"/>
    <mergeCell ref="A3:D3"/>
    <mergeCell ref="A79:E79"/>
    <mergeCell ref="B88:E88"/>
    <mergeCell ref="P88:T88"/>
    <mergeCell ref="B87:E87"/>
    <mergeCell ref="A11:B11"/>
    <mergeCell ref="O87:T87"/>
    <mergeCell ref="Q83:S83"/>
    <mergeCell ref="B80:E80"/>
    <mergeCell ref="B83:D83"/>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78" t="s">
        <v>29</v>
      </c>
      <c r="B1" s="678"/>
      <c r="C1" s="678"/>
      <c r="D1" s="678"/>
      <c r="E1" s="677" t="s">
        <v>370</v>
      </c>
      <c r="F1" s="677"/>
      <c r="G1" s="677"/>
      <c r="H1" s="677"/>
      <c r="I1" s="677"/>
      <c r="J1" s="677"/>
      <c r="K1" s="677"/>
      <c r="L1" s="31" t="s">
        <v>346</v>
      </c>
      <c r="M1" s="31"/>
      <c r="N1" s="31"/>
      <c r="O1" s="32"/>
      <c r="P1" s="32"/>
    </row>
    <row r="2" spans="1:16" ht="15.75" customHeight="1">
      <c r="A2" s="679" t="s">
        <v>240</v>
      </c>
      <c r="B2" s="679"/>
      <c r="C2" s="679"/>
      <c r="D2" s="679"/>
      <c r="E2" s="677"/>
      <c r="F2" s="677"/>
      <c r="G2" s="677"/>
      <c r="H2" s="677"/>
      <c r="I2" s="677"/>
      <c r="J2" s="677"/>
      <c r="K2" s="677"/>
      <c r="L2" s="669" t="s">
        <v>249</v>
      </c>
      <c r="M2" s="669"/>
      <c r="N2" s="669"/>
      <c r="O2" s="35"/>
      <c r="P2" s="32"/>
    </row>
    <row r="3" spans="1:16" ht="18" customHeight="1">
      <c r="A3" s="679" t="s">
        <v>241</v>
      </c>
      <c r="B3" s="679"/>
      <c r="C3" s="679"/>
      <c r="D3" s="679"/>
      <c r="E3" s="680" t="s">
        <v>366</v>
      </c>
      <c r="F3" s="680"/>
      <c r="G3" s="680"/>
      <c r="H3" s="680"/>
      <c r="I3" s="680"/>
      <c r="J3" s="680"/>
      <c r="K3" s="36"/>
      <c r="L3" s="670" t="s">
        <v>365</v>
      </c>
      <c r="M3" s="670"/>
      <c r="N3" s="670"/>
      <c r="O3" s="32"/>
      <c r="P3" s="32"/>
    </row>
    <row r="4" spans="1:16" ht="21" customHeight="1">
      <c r="A4" s="676" t="s">
        <v>252</v>
      </c>
      <c r="B4" s="676"/>
      <c r="C4" s="676"/>
      <c r="D4" s="676"/>
      <c r="E4" s="39"/>
      <c r="F4" s="40"/>
      <c r="G4" s="41"/>
      <c r="H4" s="41"/>
      <c r="I4" s="41"/>
      <c r="J4" s="41"/>
      <c r="K4" s="32"/>
      <c r="L4" s="669" t="s">
        <v>247</v>
      </c>
      <c r="M4" s="669"/>
      <c r="N4" s="669"/>
      <c r="O4" s="35"/>
      <c r="P4" s="32"/>
    </row>
    <row r="5" spans="1:16" ht="18" customHeight="1">
      <c r="A5" s="41"/>
      <c r="B5" s="32"/>
      <c r="C5" s="42"/>
      <c r="D5" s="674"/>
      <c r="E5" s="674"/>
      <c r="F5" s="674"/>
      <c r="G5" s="674"/>
      <c r="H5" s="674"/>
      <c r="I5" s="674"/>
      <c r="J5" s="674"/>
      <c r="K5" s="674"/>
      <c r="L5" s="43" t="s">
        <v>253</v>
      </c>
      <c r="M5" s="43"/>
      <c r="N5" s="43"/>
      <c r="O5" s="32"/>
      <c r="P5" s="32"/>
    </row>
    <row r="6" spans="1:18" ht="33" customHeight="1">
      <c r="A6" s="661" t="s">
        <v>57</v>
      </c>
      <c r="B6" s="662"/>
      <c r="C6" s="675" t="s">
        <v>254</v>
      </c>
      <c r="D6" s="675"/>
      <c r="E6" s="675"/>
      <c r="F6" s="675"/>
      <c r="G6" s="671" t="s">
        <v>7</v>
      </c>
      <c r="H6" s="672"/>
      <c r="I6" s="672"/>
      <c r="J6" s="672"/>
      <c r="K6" s="672"/>
      <c r="L6" s="672"/>
      <c r="M6" s="672"/>
      <c r="N6" s="673"/>
      <c r="O6" s="687" t="s">
        <v>255</v>
      </c>
      <c r="P6" s="688"/>
      <c r="Q6" s="688"/>
      <c r="R6" s="689"/>
    </row>
    <row r="7" spans="1:18" ht="29.25" customHeight="1">
      <c r="A7" s="663"/>
      <c r="B7" s="664"/>
      <c r="C7" s="675"/>
      <c r="D7" s="675"/>
      <c r="E7" s="675"/>
      <c r="F7" s="675"/>
      <c r="G7" s="671" t="s">
        <v>256</v>
      </c>
      <c r="H7" s="672"/>
      <c r="I7" s="672"/>
      <c r="J7" s="673"/>
      <c r="K7" s="671" t="s">
        <v>92</v>
      </c>
      <c r="L7" s="672"/>
      <c r="M7" s="672"/>
      <c r="N7" s="673"/>
      <c r="O7" s="45" t="s">
        <v>257</v>
      </c>
      <c r="P7" s="45" t="s">
        <v>258</v>
      </c>
      <c r="Q7" s="690" t="s">
        <v>259</v>
      </c>
      <c r="R7" s="690" t="s">
        <v>260</v>
      </c>
    </row>
    <row r="8" spans="1:18" ht="26.25" customHeight="1">
      <c r="A8" s="663"/>
      <c r="B8" s="664"/>
      <c r="C8" s="658" t="s">
        <v>89</v>
      </c>
      <c r="D8" s="659"/>
      <c r="E8" s="658" t="s">
        <v>88</v>
      </c>
      <c r="F8" s="659"/>
      <c r="G8" s="658" t="s">
        <v>90</v>
      </c>
      <c r="H8" s="660"/>
      <c r="I8" s="658" t="s">
        <v>91</v>
      </c>
      <c r="J8" s="660"/>
      <c r="K8" s="658" t="s">
        <v>93</v>
      </c>
      <c r="L8" s="660"/>
      <c r="M8" s="658" t="s">
        <v>94</v>
      </c>
      <c r="N8" s="660"/>
      <c r="O8" s="692" t="s">
        <v>261</v>
      </c>
      <c r="P8" s="693" t="s">
        <v>262</v>
      </c>
      <c r="Q8" s="690"/>
      <c r="R8" s="690"/>
    </row>
    <row r="9" spans="1:18" ht="30.75" customHeight="1">
      <c r="A9" s="663"/>
      <c r="B9" s="664"/>
      <c r="C9" s="46" t="s">
        <v>3</v>
      </c>
      <c r="D9" s="44" t="s">
        <v>9</v>
      </c>
      <c r="E9" s="44" t="s">
        <v>3</v>
      </c>
      <c r="F9" s="44" t="s">
        <v>9</v>
      </c>
      <c r="G9" s="47" t="s">
        <v>3</v>
      </c>
      <c r="H9" s="47" t="s">
        <v>9</v>
      </c>
      <c r="I9" s="47" t="s">
        <v>3</v>
      </c>
      <c r="J9" s="47" t="s">
        <v>9</v>
      </c>
      <c r="K9" s="47" t="s">
        <v>3</v>
      </c>
      <c r="L9" s="47" t="s">
        <v>9</v>
      </c>
      <c r="M9" s="47" t="s">
        <v>3</v>
      </c>
      <c r="N9" s="47" t="s">
        <v>9</v>
      </c>
      <c r="O9" s="692"/>
      <c r="P9" s="694"/>
      <c r="Q9" s="691"/>
      <c r="R9" s="691"/>
    </row>
    <row r="10" spans="1:18" s="52" customFormat="1" ht="18" customHeight="1">
      <c r="A10" s="683" t="s">
        <v>6</v>
      </c>
      <c r="B10" s="683"/>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85" t="s">
        <v>263</v>
      </c>
      <c r="B11" s="68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67" t="s">
        <v>367</v>
      </c>
      <c r="B12" s="668"/>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65" t="s">
        <v>31</v>
      </c>
      <c r="B13" s="66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264</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265</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266</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267</v>
      </c>
    </row>
    <row r="18" spans="1:18" s="70" customFormat="1" ht="18" customHeight="1">
      <c r="A18" s="66" t="s">
        <v>49</v>
      </c>
      <c r="B18" s="67" t="s">
        <v>268</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269</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270</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271</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272</v>
      </c>
      <c r="AK21" s="52" t="s">
        <v>273</v>
      </c>
      <c r="AL21" s="52" t="s">
        <v>274</v>
      </c>
      <c r="AM21" s="63" t="s">
        <v>275</v>
      </c>
    </row>
    <row r="22" spans="1:39" s="52" customFormat="1" ht="18" customHeight="1">
      <c r="A22" s="66" t="s">
        <v>61</v>
      </c>
      <c r="B22" s="67" t="s">
        <v>276</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277</v>
      </c>
    </row>
    <row r="23" spans="1:18" s="52" customFormat="1" ht="18" customHeight="1">
      <c r="A23" s="66" t="s">
        <v>62</v>
      </c>
      <c r="B23" s="67" t="s">
        <v>278</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279</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272</v>
      </c>
    </row>
    <row r="25" spans="1:36" s="52" customFormat="1" ht="18" customHeight="1">
      <c r="A25" s="66" t="s">
        <v>83</v>
      </c>
      <c r="B25" s="67" t="s">
        <v>280</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281</v>
      </c>
    </row>
    <row r="26" spans="1:44" s="52" customFormat="1" ht="18" customHeight="1">
      <c r="A26" s="66" t="s">
        <v>84</v>
      </c>
      <c r="B26" s="67" t="s">
        <v>282</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84" t="s">
        <v>368</v>
      </c>
      <c r="C28" s="684"/>
      <c r="D28" s="684"/>
      <c r="E28" s="684"/>
      <c r="F28" s="75"/>
      <c r="G28" s="76"/>
      <c r="H28" s="76"/>
      <c r="I28" s="76"/>
      <c r="J28" s="684" t="s">
        <v>369</v>
      </c>
      <c r="K28" s="684"/>
      <c r="L28" s="684"/>
      <c r="M28" s="684"/>
      <c r="N28" s="684"/>
      <c r="O28" s="77"/>
      <c r="P28" s="77"/>
      <c r="AG28" s="78" t="s">
        <v>284</v>
      </c>
      <c r="AI28" s="79">
        <f>82/88</f>
        <v>0.9318181818181818</v>
      </c>
    </row>
    <row r="29" spans="1:16" s="85" customFormat="1" ht="19.5" customHeight="1">
      <c r="A29" s="80"/>
      <c r="B29" s="657" t="s">
        <v>35</v>
      </c>
      <c r="C29" s="657"/>
      <c r="D29" s="657"/>
      <c r="E29" s="657"/>
      <c r="F29" s="82"/>
      <c r="G29" s="83"/>
      <c r="H29" s="83"/>
      <c r="I29" s="83"/>
      <c r="J29" s="657" t="s">
        <v>285</v>
      </c>
      <c r="K29" s="657"/>
      <c r="L29" s="657"/>
      <c r="M29" s="657"/>
      <c r="N29" s="657"/>
      <c r="O29" s="84"/>
      <c r="P29" s="84"/>
    </row>
    <row r="30" spans="1:16" s="85" customFormat="1" ht="19.5" customHeight="1">
      <c r="A30" s="80"/>
      <c r="B30" s="681"/>
      <c r="C30" s="681"/>
      <c r="D30" s="681"/>
      <c r="E30" s="82"/>
      <c r="F30" s="82"/>
      <c r="G30" s="83"/>
      <c r="H30" s="83"/>
      <c r="I30" s="83"/>
      <c r="J30" s="682"/>
      <c r="K30" s="682"/>
      <c r="L30" s="682"/>
      <c r="M30" s="682"/>
      <c r="N30" s="682"/>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96" t="s">
        <v>286</v>
      </c>
      <c r="C32" s="696"/>
      <c r="D32" s="696"/>
      <c r="E32" s="696"/>
      <c r="F32" s="87"/>
      <c r="G32" s="88"/>
      <c r="H32" s="88"/>
      <c r="I32" s="88"/>
      <c r="J32" s="695" t="s">
        <v>286</v>
      </c>
      <c r="K32" s="695"/>
      <c r="L32" s="695"/>
      <c r="M32" s="695"/>
      <c r="N32" s="695"/>
      <c r="O32" s="84"/>
      <c r="P32" s="84"/>
    </row>
    <row r="33" spans="1:16" s="85" customFormat="1" ht="19.5" customHeight="1">
      <c r="A33" s="80"/>
      <c r="B33" s="657" t="s">
        <v>287</v>
      </c>
      <c r="C33" s="657"/>
      <c r="D33" s="657"/>
      <c r="E33" s="657"/>
      <c r="F33" s="82"/>
      <c r="G33" s="83"/>
      <c r="H33" s="83"/>
      <c r="I33" s="83"/>
      <c r="J33" s="81"/>
      <c r="K33" s="657" t="s">
        <v>287</v>
      </c>
      <c r="L33" s="657"/>
      <c r="M33" s="657"/>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55" t="s">
        <v>243</v>
      </c>
      <c r="C36" s="655"/>
      <c r="D36" s="655"/>
      <c r="E36" s="655"/>
      <c r="F36" s="91"/>
      <c r="G36" s="91"/>
      <c r="H36" s="91"/>
      <c r="I36" s="91"/>
      <c r="J36" s="656" t="s">
        <v>244</v>
      </c>
      <c r="K36" s="656"/>
      <c r="L36" s="656"/>
      <c r="M36" s="656"/>
      <c r="N36" s="656"/>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732" t="s">
        <v>26</v>
      </c>
      <c r="B1" s="732"/>
      <c r="C1" s="98"/>
      <c r="D1" s="735" t="s">
        <v>347</v>
      </c>
      <c r="E1" s="735"/>
      <c r="F1" s="735"/>
      <c r="G1" s="735"/>
      <c r="H1" s="735"/>
      <c r="I1" s="735"/>
      <c r="J1" s="735"/>
      <c r="K1" s="735"/>
      <c r="L1" s="735"/>
      <c r="M1" s="706" t="s">
        <v>288</v>
      </c>
      <c r="N1" s="707"/>
      <c r="O1" s="707"/>
      <c r="P1" s="707"/>
    </row>
    <row r="2" spans="1:16" s="42" customFormat="1" ht="34.5" customHeight="1">
      <c r="A2" s="734" t="s">
        <v>289</v>
      </c>
      <c r="B2" s="734"/>
      <c r="C2" s="734"/>
      <c r="D2" s="735"/>
      <c r="E2" s="735"/>
      <c r="F2" s="735"/>
      <c r="G2" s="735"/>
      <c r="H2" s="735"/>
      <c r="I2" s="735"/>
      <c r="J2" s="735"/>
      <c r="K2" s="735"/>
      <c r="L2" s="735"/>
      <c r="M2" s="708" t="s">
        <v>348</v>
      </c>
      <c r="N2" s="709"/>
      <c r="O2" s="709"/>
      <c r="P2" s="709"/>
    </row>
    <row r="3" spans="1:16" s="42" customFormat="1" ht="19.5" customHeight="1">
      <c r="A3" s="733" t="s">
        <v>290</v>
      </c>
      <c r="B3" s="733"/>
      <c r="C3" s="733"/>
      <c r="D3" s="735"/>
      <c r="E3" s="735"/>
      <c r="F3" s="735"/>
      <c r="G3" s="735"/>
      <c r="H3" s="735"/>
      <c r="I3" s="735"/>
      <c r="J3" s="735"/>
      <c r="K3" s="735"/>
      <c r="L3" s="735"/>
      <c r="M3" s="708" t="s">
        <v>291</v>
      </c>
      <c r="N3" s="709"/>
      <c r="O3" s="709"/>
      <c r="P3" s="709"/>
    </row>
    <row r="4" spans="1:16" s="103" customFormat="1" ht="18.75" customHeight="1">
      <c r="A4" s="99"/>
      <c r="B4" s="99"/>
      <c r="C4" s="100"/>
      <c r="D4" s="674"/>
      <c r="E4" s="674"/>
      <c r="F4" s="674"/>
      <c r="G4" s="674"/>
      <c r="H4" s="674"/>
      <c r="I4" s="674"/>
      <c r="J4" s="674"/>
      <c r="K4" s="674"/>
      <c r="L4" s="674"/>
      <c r="M4" s="101" t="s">
        <v>292</v>
      </c>
      <c r="N4" s="102"/>
      <c r="O4" s="102"/>
      <c r="P4" s="102"/>
    </row>
    <row r="5" spans="1:16" ht="49.5" customHeight="1">
      <c r="A5" s="723" t="s">
        <v>57</v>
      </c>
      <c r="B5" s="724"/>
      <c r="C5" s="729" t="s">
        <v>82</v>
      </c>
      <c r="D5" s="712"/>
      <c r="E5" s="712"/>
      <c r="F5" s="712"/>
      <c r="G5" s="712"/>
      <c r="H5" s="712"/>
      <c r="I5" s="712"/>
      <c r="J5" s="712"/>
      <c r="K5" s="710" t="s">
        <v>81</v>
      </c>
      <c r="L5" s="710"/>
      <c r="M5" s="710"/>
      <c r="N5" s="710"/>
      <c r="O5" s="710"/>
      <c r="P5" s="710"/>
    </row>
    <row r="6" spans="1:16" ht="20.25" customHeight="1">
      <c r="A6" s="725"/>
      <c r="B6" s="726"/>
      <c r="C6" s="729" t="s">
        <v>3</v>
      </c>
      <c r="D6" s="712"/>
      <c r="E6" s="712"/>
      <c r="F6" s="713"/>
      <c r="G6" s="710" t="s">
        <v>9</v>
      </c>
      <c r="H6" s="710"/>
      <c r="I6" s="710"/>
      <c r="J6" s="710"/>
      <c r="K6" s="711" t="s">
        <v>3</v>
      </c>
      <c r="L6" s="711"/>
      <c r="M6" s="711"/>
      <c r="N6" s="714" t="s">
        <v>9</v>
      </c>
      <c r="O6" s="714"/>
      <c r="P6" s="714"/>
    </row>
    <row r="7" spans="1:16" ht="52.5" customHeight="1">
      <c r="A7" s="725"/>
      <c r="B7" s="726"/>
      <c r="C7" s="730" t="s">
        <v>293</v>
      </c>
      <c r="D7" s="712" t="s">
        <v>78</v>
      </c>
      <c r="E7" s="712"/>
      <c r="F7" s="713"/>
      <c r="G7" s="710" t="s">
        <v>294</v>
      </c>
      <c r="H7" s="710" t="s">
        <v>78</v>
      </c>
      <c r="I7" s="710"/>
      <c r="J7" s="710"/>
      <c r="K7" s="710" t="s">
        <v>32</v>
      </c>
      <c r="L7" s="710" t="s">
        <v>79</v>
      </c>
      <c r="M7" s="710"/>
      <c r="N7" s="710" t="s">
        <v>64</v>
      </c>
      <c r="O7" s="710" t="s">
        <v>79</v>
      </c>
      <c r="P7" s="710"/>
    </row>
    <row r="8" spans="1:16" ht="15.75" customHeight="1">
      <c r="A8" s="725"/>
      <c r="B8" s="726"/>
      <c r="C8" s="730"/>
      <c r="D8" s="710" t="s">
        <v>36</v>
      </c>
      <c r="E8" s="710" t="s">
        <v>37</v>
      </c>
      <c r="F8" s="710" t="s">
        <v>40</v>
      </c>
      <c r="G8" s="710"/>
      <c r="H8" s="710" t="s">
        <v>36</v>
      </c>
      <c r="I8" s="710" t="s">
        <v>37</v>
      </c>
      <c r="J8" s="710" t="s">
        <v>40</v>
      </c>
      <c r="K8" s="710"/>
      <c r="L8" s="710" t="s">
        <v>14</v>
      </c>
      <c r="M8" s="710" t="s">
        <v>13</v>
      </c>
      <c r="N8" s="710"/>
      <c r="O8" s="710" t="s">
        <v>14</v>
      </c>
      <c r="P8" s="710" t="s">
        <v>13</v>
      </c>
    </row>
    <row r="9" spans="1:16" ht="44.25" customHeight="1">
      <c r="A9" s="727"/>
      <c r="B9" s="728"/>
      <c r="C9" s="731"/>
      <c r="D9" s="710"/>
      <c r="E9" s="710"/>
      <c r="F9" s="710"/>
      <c r="G9" s="710"/>
      <c r="H9" s="710"/>
      <c r="I9" s="710"/>
      <c r="J9" s="710"/>
      <c r="K9" s="710"/>
      <c r="L9" s="710"/>
      <c r="M9" s="710"/>
      <c r="N9" s="710"/>
      <c r="O9" s="710"/>
      <c r="P9" s="710"/>
    </row>
    <row r="10" spans="1:16" ht="15" customHeight="1">
      <c r="A10" s="721" t="s">
        <v>6</v>
      </c>
      <c r="B10" s="722"/>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715" t="s">
        <v>295</v>
      </c>
      <c r="B11" s="71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717" t="s">
        <v>296</v>
      </c>
      <c r="B12" s="718"/>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719" t="s">
        <v>33</v>
      </c>
      <c r="B13" s="72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264</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265</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297</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267</v>
      </c>
    </row>
    <row r="18" spans="1:16" s="42" customFormat="1" ht="15" customHeight="1">
      <c r="A18" s="116" t="s">
        <v>49</v>
      </c>
      <c r="B18" s="117" t="s">
        <v>268</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269</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270</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271</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272</v>
      </c>
      <c r="AK21" s="42" t="s">
        <v>273</v>
      </c>
      <c r="AL21" s="42" t="s">
        <v>274</v>
      </c>
      <c r="AM21" s="113" t="s">
        <v>275</v>
      </c>
    </row>
    <row r="22" spans="1:39" s="42" customFormat="1" ht="15" customHeight="1">
      <c r="A22" s="116" t="s">
        <v>61</v>
      </c>
      <c r="B22" s="117" t="s">
        <v>276</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277</v>
      </c>
    </row>
    <row r="23" spans="1:16" s="42" customFormat="1" ht="15" customHeight="1">
      <c r="A23" s="116" t="s">
        <v>62</v>
      </c>
      <c r="B23" s="117" t="s">
        <v>278</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279</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272</v>
      </c>
    </row>
    <row r="25" spans="1:36" s="42" customFormat="1" ht="15" customHeight="1">
      <c r="A25" s="116" t="s">
        <v>83</v>
      </c>
      <c r="B25" s="117" t="s">
        <v>280</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281</v>
      </c>
    </row>
    <row r="26" spans="1:44" s="42" customFormat="1" ht="15" customHeight="1">
      <c r="A26" s="116" t="s">
        <v>84</v>
      </c>
      <c r="B26" s="117" t="s">
        <v>282</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702" t="s">
        <v>349</v>
      </c>
      <c r="C28" s="703"/>
      <c r="D28" s="703"/>
      <c r="E28" s="703"/>
      <c r="F28" s="123"/>
      <c r="G28" s="123"/>
      <c r="H28" s="123"/>
      <c r="I28" s="123"/>
      <c r="J28" s="123"/>
      <c r="K28" s="697" t="s">
        <v>350</v>
      </c>
      <c r="L28" s="697"/>
      <c r="M28" s="697"/>
      <c r="N28" s="697"/>
      <c r="O28" s="697"/>
      <c r="P28" s="697"/>
      <c r="AG28" s="73" t="s">
        <v>284</v>
      </c>
      <c r="AI28" s="113">
        <f>82/88</f>
        <v>0.9318181818181818</v>
      </c>
    </row>
    <row r="29" spans="2:16" ht="16.5">
      <c r="B29" s="703"/>
      <c r="C29" s="703"/>
      <c r="D29" s="703"/>
      <c r="E29" s="703"/>
      <c r="F29" s="123"/>
      <c r="G29" s="123"/>
      <c r="H29" s="123"/>
      <c r="I29" s="123"/>
      <c r="J29" s="123"/>
      <c r="K29" s="697"/>
      <c r="L29" s="697"/>
      <c r="M29" s="697"/>
      <c r="N29" s="697"/>
      <c r="O29" s="697"/>
      <c r="P29" s="697"/>
    </row>
    <row r="30" spans="2:16" ht="21" customHeight="1">
      <c r="B30" s="703"/>
      <c r="C30" s="703"/>
      <c r="D30" s="703"/>
      <c r="E30" s="703"/>
      <c r="F30" s="123"/>
      <c r="G30" s="123"/>
      <c r="H30" s="123"/>
      <c r="I30" s="123"/>
      <c r="J30" s="123"/>
      <c r="K30" s="697"/>
      <c r="L30" s="697"/>
      <c r="M30" s="697"/>
      <c r="N30" s="697"/>
      <c r="O30" s="697"/>
      <c r="P30" s="697"/>
    </row>
    <row r="32" spans="2:16" ht="16.5" customHeight="1">
      <c r="B32" s="705" t="s">
        <v>287</v>
      </c>
      <c r="C32" s="705"/>
      <c r="D32" s="705"/>
      <c r="E32" s="124"/>
      <c r="F32" s="124"/>
      <c r="G32" s="124"/>
      <c r="H32" s="124"/>
      <c r="I32" s="124"/>
      <c r="J32" s="124"/>
      <c r="K32" s="704" t="s">
        <v>351</v>
      </c>
      <c r="L32" s="704"/>
      <c r="M32" s="704"/>
      <c r="N32" s="704"/>
      <c r="O32" s="704"/>
      <c r="P32" s="704"/>
    </row>
    <row r="33" ht="12.75" customHeight="1"/>
    <row r="34" spans="2:5" ht="15.75">
      <c r="B34" s="125"/>
      <c r="C34" s="125"/>
      <c r="D34" s="125"/>
      <c r="E34" s="125"/>
    </row>
    <row r="35" ht="15.75" hidden="1"/>
    <row r="36" spans="2:16" ht="15.75">
      <c r="B36" s="700" t="s">
        <v>243</v>
      </c>
      <c r="C36" s="700"/>
      <c r="D36" s="700"/>
      <c r="E36" s="700"/>
      <c r="F36" s="126"/>
      <c r="G36" s="126"/>
      <c r="H36" s="126"/>
      <c r="I36" s="126"/>
      <c r="K36" s="701" t="s">
        <v>244</v>
      </c>
      <c r="L36" s="701"/>
      <c r="M36" s="701"/>
      <c r="N36" s="701"/>
      <c r="O36" s="701"/>
      <c r="P36" s="701"/>
    </row>
    <row r="39" ht="15.75">
      <c r="A39" s="128" t="s">
        <v>41</v>
      </c>
    </row>
    <row r="40" spans="1:6" ht="15.75">
      <c r="A40" s="129"/>
      <c r="B40" s="130" t="s">
        <v>50</v>
      </c>
      <c r="C40" s="130"/>
      <c r="D40" s="130"/>
      <c r="E40" s="130"/>
      <c r="F40" s="130"/>
    </row>
    <row r="41" spans="1:14" ht="15.75" customHeight="1">
      <c r="A41" s="131" t="s">
        <v>25</v>
      </c>
      <c r="B41" s="699" t="s">
        <v>53</v>
      </c>
      <c r="C41" s="699"/>
      <c r="D41" s="699"/>
      <c r="E41" s="699"/>
      <c r="F41" s="699"/>
      <c r="G41" s="131"/>
      <c r="H41" s="131"/>
      <c r="I41" s="131"/>
      <c r="J41" s="131"/>
      <c r="K41" s="131"/>
      <c r="L41" s="131"/>
      <c r="M41" s="131"/>
      <c r="N41" s="131"/>
    </row>
    <row r="42" spans="1:14" ht="15" customHeight="1">
      <c r="A42" s="131"/>
      <c r="B42" s="698" t="s">
        <v>54</v>
      </c>
      <c r="C42" s="698"/>
      <c r="D42" s="698"/>
      <c r="E42" s="698"/>
      <c r="F42" s="698"/>
      <c r="G42" s="698"/>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78" t="s">
        <v>99</v>
      </c>
      <c r="B1" s="678"/>
      <c r="C1" s="678"/>
      <c r="D1" s="755" t="s">
        <v>352</v>
      </c>
      <c r="E1" s="755"/>
      <c r="F1" s="755"/>
      <c r="G1" s="755"/>
      <c r="H1" s="755"/>
      <c r="I1" s="755"/>
      <c r="J1" s="752" t="s">
        <v>353</v>
      </c>
      <c r="K1" s="753"/>
      <c r="L1" s="753"/>
    </row>
    <row r="2" spans="1:13" ht="15.75" customHeight="1">
      <c r="A2" s="754" t="s">
        <v>298</v>
      </c>
      <c r="B2" s="754"/>
      <c r="C2" s="754"/>
      <c r="D2" s="755"/>
      <c r="E2" s="755"/>
      <c r="F2" s="755"/>
      <c r="G2" s="755"/>
      <c r="H2" s="755"/>
      <c r="I2" s="755"/>
      <c r="J2" s="753" t="s">
        <v>299</v>
      </c>
      <c r="K2" s="753"/>
      <c r="L2" s="753"/>
      <c r="M2" s="133"/>
    </row>
    <row r="3" spans="1:13" ht="15.75" customHeight="1">
      <c r="A3" s="679" t="s">
        <v>250</v>
      </c>
      <c r="B3" s="679"/>
      <c r="C3" s="679"/>
      <c r="D3" s="755"/>
      <c r="E3" s="755"/>
      <c r="F3" s="755"/>
      <c r="G3" s="755"/>
      <c r="H3" s="755"/>
      <c r="I3" s="755"/>
      <c r="J3" s="752" t="s">
        <v>354</v>
      </c>
      <c r="K3" s="752"/>
      <c r="L3" s="752"/>
      <c r="M3" s="37"/>
    </row>
    <row r="4" spans="1:13" ht="15.75" customHeight="1">
      <c r="A4" s="763" t="s">
        <v>252</v>
      </c>
      <c r="B4" s="763"/>
      <c r="C4" s="763"/>
      <c r="D4" s="757"/>
      <c r="E4" s="757"/>
      <c r="F4" s="757"/>
      <c r="G4" s="757"/>
      <c r="H4" s="757"/>
      <c r="I4" s="757"/>
      <c r="J4" s="753" t="s">
        <v>300</v>
      </c>
      <c r="K4" s="753"/>
      <c r="L4" s="753"/>
      <c r="M4" s="133"/>
    </row>
    <row r="5" spans="1:13" ht="15.75">
      <c r="A5" s="134"/>
      <c r="B5" s="134"/>
      <c r="C5" s="34"/>
      <c r="D5" s="34"/>
      <c r="E5" s="34"/>
      <c r="F5" s="34"/>
      <c r="G5" s="34"/>
      <c r="H5" s="34"/>
      <c r="I5" s="34"/>
      <c r="J5" s="756" t="s">
        <v>8</v>
      </c>
      <c r="K5" s="756"/>
      <c r="L5" s="756"/>
      <c r="M5" s="133"/>
    </row>
    <row r="6" spans="1:14" ht="15.75">
      <c r="A6" s="738" t="s">
        <v>57</v>
      </c>
      <c r="B6" s="739"/>
      <c r="C6" s="710" t="s">
        <v>301</v>
      </c>
      <c r="D6" s="762" t="s">
        <v>302</v>
      </c>
      <c r="E6" s="762"/>
      <c r="F6" s="762"/>
      <c r="G6" s="762"/>
      <c r="H6" s="762"/>
      <c r="I6" s="762"/>
      <c r="J6" s="675" t="s">
        <v>97</v>
      </c>
      <c r="K6" s="675"/>
      <c r="L6" s="675"/>
      <c r="M6" s="764" t="s">
        <v>303</v>
      </c>
      <c r="N6" s="765" t="s">
        <v>304</v>
      </c>
    </row>
    <row r="7" spans="1:14" ht="15.75" customHeight="1">
      <c r="A7" s="740"/>
      <c r="B7" s="741"/>
      <c r="C7" s="710"/>
      <c r="D7" s="762" t="s">
        <v>7</v>
      </c>
      <c r="E7" s="762"/>
      <c r="F7" s="762"/>
      <c r="G7" s="762"/>
      <c r="H7" s="762"/>
      <c r="I7" s="762"/>
      <c r="J7" s="675"/>
      <c r="K7" s="675"/>
      <c r="L7" s="675"/>
      <c r="M7" s="764"/>
      <c r="N7" s="765"/>
    </row>
    <row r="8" spans="1:14" s="73" customFormat="1" ht="31.5" customHeight="1">
      <c r="A8" s="740"/>
      <c r="B8" s="741"/>
      <c r="C8" s="710"/>
      <c r="D8" s="675" t="s">
        <v>95</v>
      </c>
      <c r="E8" s="675" t="s">
        <v>96</v>
      </c>
      <c r="F8" s="675"/>
      <c r="G8" s="675"/>
      <c r="H8" s="675"/>
      <c r="I8" s="675"/>
      <c r="J8" s="675"/>
      <c r="K8" s="675"/>
      <c r="L8" s="675"/>
      <c r="M8" s="764"/>
      <c r="N8" s="765"/>
    </row>
    <row r="9" spans="1:14" s="73" customFormat="1" ht="15.75" customHeight="1">
      <c r="A9" s="740"/>
      <c r="B9" s="741"/>
      <c r="C9" s="710"/>
      <c r="D9" s="675"/>
      <c r="E9" s="675" t="s">
        <v>98</v>
      </c>
      <c r="F9" s="675" t="s">
        <v>7</v>
      </c>
      <c r="G9" s="675"/>
      <c r="H9" s="675"/>
      <c r="I9" s="675"/>
      <c r="J9" s="675" t="s">
        <v>7</v>
      </c>
      <c r="K9" s="675"/>
      <c r="L9" s="675"/>
      <c r="M9" s="764"/>
      <c r="N9" s="765"/>
    </row>
    <row r="10" spans="1:14" s="73" customFormat="1" ht="86.25" customHeight="1">
      <c r="A10" s="742"/>
      <c r="B10" s="743"/>
      <c r="C10" s="710"/>
      <c r="D10" s="675"/>
      <c r="E10" s="675"/>
      <c r="F10" s="104" t="s">
        <v>22</v>
      </c>
      <c r="G10" s="104" t="s">
        <v>24</v>
      </c>
      <c r="H10" s="104" t="s">
        <v>16</v>
      </c>
      <c r="I10" s="104" t="s">
        <v>23</v>
      </c>
      <c r="J10" s="104" t="s">
        <v>15</v>
      </c>
      <c r="K10" s="104" t="s">
        <v>20</v>
      </c>
      <c r="L10" s="104" t="s">
        <v>21</v>
      </c>
      <c r="M10" s="764"/>
      <c r="N10" s="765"/>
    </row>
    <row r="11" spans="1:32" ht="13.5" customHeight="1">
      <c r="A11" s="748" t="s">
        <v>5</v>
      </c>
      <c r="B11" s="749"/>
      <c r="C11" s="135">
        <v>1</v>
      </c>
      <c r="D11" s="135" t="s">
        <v>44</v>
      </c>
      <c r="E11" s="135" t="s">
        <v>49</v>
      </c>
      <c r="F11" s="135" t="s">
        <v>58</v>
      </c>
      <c r="G11" s="135" t="s">
        <v>59</v>
      </c>
      <c r="H11" s="135" t="s">
        <v>60</v>
      </c>
      <c r="I11" s="135" t="s">
        <v>61</v>
      </c>
      <c r="J11" s="135" t="s">
        <v>62</v>
      </c>
      <c r="K11" s="135" t="s">
        <v>63</v>
      </c>
      <c r="L11" s="135" t="s">
        <v>83</v>
      </c>
      <c r="M11" s="136"/>
      <c r="N11" s="137"/>
      <c r="AF11" s="33" t="s">
        <v>264</v>
      </c>
    </row>
    <row r="12" spans="1:14" ht="24" customHeight="1">
      <c r="A12" s="760" t="s">
        <v>295</v>
      </c>
      <c r="B12" s="761"/>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58" t="s">
        <v>251</v>
      </c>
      <c r="B13" s="759"/>
      <c r="C13" s="139">
        <v>59</v>
      </c>
      <c r="D13" s="139">
        <v>43</v>
      </c>
      <c r="E13" s="139">
        <v>0</v>
      </c>
      <c r="F13" s="139">
        <v>5</v>
      </c>
      <c r="G13" s="139">
        <v>2</v>
      </c>
      <c r="H13" s="139">
        <v>7</v>
      </c>
      <c r="I13" s="139">
        <v>2</v>
      </c>
      <c r="J13" s="139">
        <v>10</v>
      </c>
      <c r="K13" s="139">
        <v>44</v>
      </c>
      <c r="L13" s="139">
        <v>5</v>
      </c>
      <c r="M13" s="136"/>
      <c r="N13" s="137"/>
    </row>
    <row r="14" spans="1:37" s="52" customFormat="1" ht="16.5" customHeight="1">
      <c r="A14" s="746" t="s">
        <v>30</v>
      </c>
      <c r="B14" s="74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265</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267</v>
      </c>
    </row>
    <row r="18" spans="1:14" s="148" customFormat="1" ht="16.5" customHeight="1">
      <c r="A18" s="147" t="s">
        <v>44</v>
      </c>
      <c r="B18" s="68" t="s">
        <v>297</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268</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269</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270</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272</v>
      </c>
      <c r="AK21" s="148" t="s">
        <v>273</v>
      </c>
      <c r="AL21" s="148" t="s">
        <v>274</v>
      </c>
      <c r="AM21" s="63" t="s">
        <v>275</v>
      </c>
    </row>
    <row r="22" spans="1:39" s="148" customFormat="1" ht="16.5" customHeight="1">
      <c r="A22" s="147" t="s">
        <v>60</v>
      </c>
      <c r="B22" s="68" t="s">
        <v>271</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277</v>
      </c>
    </row>
    <row r="23" spans="1:14" s="148" customFormat="1" ht="16.5" customHeight="1">
      <c r="A23" s="147" t="s">
        <v>61</v>
      </c>
      <c r="B23" s="68" t="s">
        <v>276</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278</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272</v>
      </c>
    </row>
    <row r="25" spans="1:36" s="148" customFormat="1" ht="16.5" customHeight="1">
      <c r="A25" s="147" t="s">
        <v>63</v>
      </c>
      <c r="B25" s="68" t="s">
        <v>279</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281</v>
      </c>
    </row>
    <row r="26" spans="1:44" s="70" customFormat="1" ht="16.5" customHeight="1">
      <c r="A26" s="151" t="s">
        <v>83</v>
      </c>
      <c r="B26" s="68" t="s">
        <v>280</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282</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284</v>
      </c>
      <c r="AI28" s="157">
        <f>82/88</f>
        <v>0.9318181818181818</v>
      </c>
    </row>
    <row r="29" spans="1:13" ht="16.5" customHeight="1">
      <c r="A29" s="684" t="s">
        <v>355</v>
      </c>
      <c r="B29" s="750"/>
      <c r="C29" s="750"/>
      <c r="D29" s="750"/>
      <c r="E29" s="158"/>
      <c r="F29" s="158"/>
      <c r="G29" s="158"/>
      <c r="H29" s="736" t="s">
        <v>305</v>
      </c>
      <c r="I29" s="736"/>
      <c r="J29" s="736"/>
      <c r="K29" s="736"/>
      <c r="L29" s="736"/>
      <c r="M29" s="159"/>
    </row>
    <row r="30" spans="1:12" ht="18.75">
      <c r="A30" s="750"/>
      <c r="B30" s="750"/>
      <c r="C30" s="750"/>
      <c r="D30" s="750"/>
      <c r="E30" s="158"/>
      <c r="F30" s="158"/>
      <c r="G30" s="158"/>
      <c r="H30" s="737" t="s">
        <v>306</v>
      </c>
      <c r="I30" s="737"/>
      <c r="J30" s="737"/>
      <c r="K30" s="737"/>
      <c r="L30" s="737"/>
    </row>
    <row r="31" spans="1:12" s="32" customFormat="1" ht="16.5" customHeight="1">
      <c r="A31" s="681"/>
      <c r="B31" s="681"/>
      <c r="C31" s="681"/>
      <c r="D31" s="681"/>
      <c r="E31" s="160"/>
      <c r="F31" s="160"/>
      <c r="G31" s="160"/>
      <c r="H31" s="682"/>
      <c r="I31" s="682"/>
      <c r="J31" s="682"/>
      <c r="K31" s="682"/>
      <c r="L31" s="682"/>
    </row>
    <row r="32" spans="1:12" ht="18.75">
      <c r="A32" s="89"/>
      <c r="B32" s="681" t="s">
        <v>287</v>
      </c>
      <c r="C32" s="681"/>
      <c r="D32" s="681"/>
      <c r="E32" s="160"/>
      <c r="F32" s="160"/>
      <c r="G32" s="160"/>
      <c r="H32" s="160"/>
      <c r="I32" s="751" t="s">
        <v>287</v>
      </c>
      <c r="J32" s="751"/>
      <c r="K32" s="75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55" t="s">
        <v>243</v>
      </c>
      <c r="B37" s="655"/>
      <c r="C37" s="655"/>
      <c r="D37" s="655"/>
      <c r="E37" s="91"/>
      <c r="F37" s="91"/>
      <c r="G37" s="91"/>
      <c r="H37" s="656" t="s">
        <v>243</v>
      </c>
      <c r="I37" s="656"/>
      <c r="J37" s="656"/>
      <c r="K37" s="656"/>
      <c r="L37" s="656"/>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45" t="s">
        <v>50</v>
      </c>
      <c r="C40" s="745"/>
      <c r="D40" s="745"/>
      <c r="E40" s="745"/>
      <c r="F40" s="745"/>
      <c r="G40" s="745"/>
      <c r="H40" s="745"/>
      <c r="I40" s="745"/>
      <c r="J40" s="745"/>
      <c r="K40" s="745"/>
      <c r="L40" s="745"/>
    </row>
    <row r="41" spans="1:12" ht="16.5" customHeight="1">
      <c r="A41" s="165"/>
      <c r="B41" s="744" t="s">
        <v>52</v>
      </c>
      <c r="C41" s="744"/>
      <c r="D41" s="744"/>
      <c r="E41" s="744"/>
      <c r="F41" s="744"/>
      <c r="G41" s="744"/>
      <c r="H41" s="744"/>
      <c r="I41" s="744"/>
      <c r="J41" s="744"/>
      <c r="K41" s="744"/>
      <c r="L41" s="744"/>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800" t="s">
        <v>132</v>
      </c>
      <c r="B1" s="800"/>
      <c r="C1" s="800"/>
      <c r="D1" s="796" t="s">
        <v>309</v>
      </c>
      <c r="E1" s="797"/>
      <c r="F1" s="797"/>
      <c r="G1" s="797"/>
      <c r="H1" s="797"/>
      <c r="I1" s="797"/>
      <c r="J1" s="797"/>
      <c r="K1" s="797"/>
      <c r="L1" s="797"/>
      <c r="M1" s="797"/>
      <c r="N1" s="797"/>
      <c r="O1" s="212"/>
      <c r="P1" s="169" t="s">
        <v>359</v>
      </c>
      <c r="Q1" s="168"/>
      <c r="R1" s="168"/>
      <c r="S1" s="168"/>
      <c r="T1" s="168"/>
      <c r="U1" s="212"/>
    </row>
    <row r="2" spans="1:21" ht="16.5" customHeight="1">
      <c r="A2" s="798" t="s">
        <v>310</v>
      </c>
      <c r="B2" s="798"/>
      <c r="C2" s="798"/>
      <c r="D2" s="797"/>
      <c r="E2" s="797"/>
      <c r="F2" s="797"/>
      <c r="G2" s="797"/>
      <c r="H2" s="797"/>
      <c r="I2" s="797"/>
      <c r="J2" s="797"/>
      <c r="K2" s="797"/>
      <c r="L2" s="797"/>
      <c r="M2" s="797"/>
      <c r="N2" s="797"/>
      <c r="O2" s="213"/>
      <c r="P2" s="789" t="s">
        <v>311</v>
      </c>
      <c r="Q2" s="789"/>
      <c r="R2" s="789"/>
      <c r="S2" s="789"/>
      <c r="T2" s="789"/>
      <c r="U2" s="213"/>
    </row>
    <row r="3" spans="1:21" ht="16.5" customHeight="1">
      <c r="A3" s="769" t="s">
        <v>312</v>
      </c>
      <c r="B3" s="769"/>
      <c r="C3" s="769"/>
      <c r="D3" s="801" t="s">
        <v>313</v>
      </c>
      <c r="E3" s="801"/>
      <c r="F3" s="801"/>
      <c r="G3" s="801"/>
      <c r="H3" s="801"/>
      <c r="I3" s="801"/>
      <c r="J3" s="801"/>
      <c r="K3" s="801"/>
      <c r="L3" s="801"/>
      <c r="M3" s="801"/>
      <c r="N3" s="801"/>
      <c r="O3" s="213"/>
      <c r="P3" s="173" t="s">
        <v>358</v>
      </c>
      <c r="Q3" s="213"/>
      <c r="R3" s="213"/>
      <c r="S3" s="213"/>
      <c r="T3" s="213"/>
      <c r="U3" s="213"/>
    </row>
    <row r="4" spans="1:21" ht="16.5" customHeight="1">
      <c r="A4" s="802" t="s">
        <v>252</v>
      </c>
      <c r="B4" s="802"/>
      <c r="C4" s="802"/>
      <c r="D4" s="778"/>
      <c r="E4" s="778"/>
      <c r="F4" s="778"/>
      <c r="G4" s="778"/>
      <c r="H4" s="778"/>
      <c r="I4" s="778"/>
      <c r="J4" s="778"/>
      <c r="K4" s="778"/>
      <c r="L4" s="778"/>
      <c r="M4" s="778"/>
      <c r="N4" s="778"/>
      <c r="O4" s="213"/>
      <c r="P4" s="172" t="s">
        <v>291</v>
      </c>
      <c r="Q4" s="213"/>
      <c r="R4" s="213"/>
      <c r="S4" s="213"/>
      <c r="T4" s="213"/>
      <c r="U4" s="213"/>
    </row>
    <row r="5" spans="12:21" ht="16.5" customHeight="1">
      <c r="L5" s="214"/>
      <c r="M5" s="214"/>
      <c r="N5" s="214"/>
      <c r="O5" s="176"/>
      <c r="P5" s="175" t="s">
        <v>314</v>
      </c>
      <c r="Q5" s="176"/>
      <c r="R5" s="176"/>
      <c r="S5" s="176"/>
      <c r="T5" s="176"/>
      <c r="U5" s="172"/>
    </row>
    <row r="6" spans="1:21" s="217" customFormat="1" ht="15.75" customHeight="1">
      <c r="A6" s="790" t="s">
        <v>57</v>
      </c>
      <c r="B6" s="791"/>
      <c r="C6" s="774" t="s">
        <v>133</v>
      </c>
      <c r="D6" s="799" t="s">
        <v>134</v>
      </c>
      <c r="E6" s="773"/>
      <c r="F6" s="773"/>
      <c r="G6" s="773"/>
      <c r="H6" s="773"/>
      <c r="I6" s="773"/>
      <c r="J6" s="773"/>
      <c r="K6" s="773"/>
      <c r="L6" s="773"/>
      <c r="M6" s="773"/>
      <c r="N6" s="773"/>
      <c r="O6" s="773"/>
      <c r="P6" s="773"/>
      <c r="Q6" s="773"/>
      <c r="R6" s="773"/>
      <c r="S6" s="773"/>
      <c r="T6" s="774" t="s">
        <v>135</v>
      </c>
      <c r="U6" s="216"/>
    </row>
    <row r="7" spans="1:20" s="218" customFormat="1" ht="12.75" customHeight="1">
      <c r="A7" s="792"/>
      <c r="B7" s="793"/>
      <c r="C7" s="774"/>
      <c r="D7" s="775" t="s">
        <v>130</v>
      </c>
      <c r="E7" s="773" t="s">
        <v>7</v>
      </c>
      <c r="F7" s="773"/>
      <c r="G7" s="773"/>
      <c r="H7" s="773"/>
      <c r="I7" s="773"/>
      <c r="J7" s="773"/>
      <c r="K7" s="773"/>
      <c r="L7" s="773"/>
      <c r="M7" s="773"/>
      <c r="N7" s="773"/>
      <c r="O7" s="773"/>
      <c r="P7" s="773"/>
      <c r="Q7" s="773"/>
      <c r="R7" s="773"/>
      <c r="S7" s="773"/>
      <c r="T7" s="774"/>
    </row>
    <row r="8" spans="1:21" s="218" customFormat="1" ht="43.5" customHeight="1">
      <c r="A8" s="792"/>
      <c r="B8" s="793"/>
      <c r="C8" s="774"/>
      <c r="D8" s="776"/>
      <c r="E8" s="806" t="s">
        <v>136</v>
      </c>
      <c r="F8" s="774"/>
      <c r="G8" s="774"/>
      <c r="H8" s="774" t="s">
        <v>137</v>
      </c>
      <c r="I8" s="774"/>
      <c r="J8" s="774"/>
      <c r="K8" s="774" t="s">
        <v>138</v>
      </c>
      <c r="L8" s="774"/>
      <c r="M8" s="774" t="s">
        <v>139</v>
      </c>
      <c r="N8" s="774"/>
      <c r="O8" s="774"/>
      <c r="P8" s="774" t="s">
        <v>140</v>
      </c>
      <c r="Q8" s="774" t="s">
        <v>141</v>
      </c>
      <c r="R8" s="774" t="s">
        <v>142</v>
      </c>
      <c r="S8" s="803" t="s">
        <v>143</v>
      </c>
      <c r="T8" s="774"/>
      <c r="U8" s="766" t="s">
        <v>315</v>
      </c>
    </row>
    <row r="9" spans="1:21" s="218" customFormat="1" ht="44.25" customHeight="1">
      <c r="A9" s="794"/>
      <c r="B9" s="795"/>
      <c r="C9" s="774"/>
      <c r="D9" s="777"/>
      <c r="E9" s="219" t="s">
        <v>144</v>
      </c>
      <c r="F9" s="215" t="s">
        <v>145</v>
      </c>
      <c r="G9" s="215" t="s">
        <v>316</v>
      </c>
      <c r="H9" s="215" t="s">
        <v>146</v>
      </c>
      <c r="I9" s="215" t="s">
        <v>147</v>
      </c>
      <c r="J9" s="215" t="s">
        <v>148</v>
      </c>
      <c r="K9" s="215" t="s">
        <v>145</v>
      </c>
      <c r="L9" s="215" t="s">
        <v>149</v>
      </c>
      <c r="M9" s="215" t="s">
        <v>150</v>
      </c>
      <c r="N9" s="215" t="s">
        <v>151</v>
      </c>
      <c r="O9" s="215" t="s">
        <v>317</v>
      </c>
      <c r="P9" s="774"/>
      <c r="Q9" s="774"/>
      <c r="R9" s="774"/>
      <c r="S9" s="803"/>
      <c r="T9" s="774"/>
      <c r="U9" s="767"/>
    </row>
    <row r="10" spans="1:21" s="222" customFormat="1" ht="15.75" customHeight="1">
      <c r="A10" s="770" t="s">
        <v>6</v>
      </c>
      <c r="B10" s="771"/>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67"/>
    </row>
    <row r="11" spans="1:21" s="222" customFormat="1" ht="15.75" customHeight="1">
      <c r="A11" s="804" t="s">
        <v>295</v>
      </c>
      <c r="B11" s="805"/>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68"/>
    </row>
    <row r="12" spans="1:21" s="222" customFormat="1" ht="15.75" customHeight="1">
      <c r="A12" s="780" t="s">
        <v>296</v>
      </c>
      <c r="B12" s="781"/>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86" t="s">
        <v>30</v>
      </c>
      <c r="B13" s="787"/>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265</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297</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268</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269</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270</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271</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276</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278</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279</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280</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282</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72" t="s">
        <v>283</v>
      </c>
      <c r="C28" s="772"/>
      <c r="D28" s="772"/>
      <c r="E28" s="772"/>
      <c r="F28" s="181"/>
      <c r="G28" s="181"/>
      <c r="H28" s="181"/>
      <c r="I28" s="181"/>
      <c r="J28" s="181"/>
      <c r="K28" s="181" t="s">
        <v>152</v>
      </c>
      <c r="L28" s="182"/>
      <c r="M28" s="779" t="s">
        <v>318</v>
      </c>
      <c r="N28" s="779"/>
      <c r="O28" s="779"/>
      <c r="P28" s="779"/>
      <c r="Q28" s="779"/>
      <c r="R28" s="779"/>
      <c r="S28" s="779"/>
      <c r="T28" s="779"/>
    </row>
    <row r="29" spans="1:20" s="233" customFormat="1" ht="18.75" customHeight="1">
      <c r="A29" s="232"/>
      <c r="B29" s="785" t="s">
        <v>153</v>
      </c>
      <c r="C29" s="785"/>
      <c r="D29" s="785"/>
      <c r="E29" s="234"/>
      <c r="F29" s="183"/>
      <c r="G29" s="183"/>
      <c r="H29" s="183"/>
      <c r="I29" s="183"/>
      <c r="J29" s="183"/>
      <c r="K29" s="183"/>
      <c r="L29" s="182"/>
      <c r="M29" s="788" t="s">
        <v>307</v>
      </c>
      <c r="N29" s="788"/>
      <c r="O29" s="788"/>
      <c r="P29" s="788"/>
      <c r="Q29" s="788"/>
      <c r="R29" s="788"/>
      <c r="S29" s="788"/>
      <c r="T29" s="788"/>
    </row>
    <row r="30" spans="1:20" s="233" customFormat="1" ht="18.75">
      <c r="A30" s="184"/>
      <c r="B30" s="782"/>
      <c r="C30" s="782"/>
      <c r="D30" s="782"/>
      <c r="E30" s="186"/>
      <c r="F30" s="186"/>
      <c r="G30" s="186"/>
      <c r="H30" s="186"/>
      <c r="I30" s="186"/>
      <c r="J30" s="186"/>
      <c r="K30" s="186"/>
      <c r="L30" s="186"/>
      <c r="M30" s="783"/>
      <c r="N30" s="783"/>
      <c r="O30" s="783"/>
      <c r="P30" s="783"/>
      <c r="Q30" s="783"/>
      <c r="R30" s="783"/>
      <c r="S30" s="783"/>
      <c r="T30" s="783"/>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155</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156</v>
      </c>
      <c r="C34" s="186"/>
      <c r="D34" s="186"/>
      <c r="E34" s="186"/>
      <c r="F34" s="186"/>
      <c r="G34" s="186"/>
      <c r="H34" s="186"/>
      <c r="I34" s="186"/>
      <c r="J34" s="186"/>
      <c r="K34" s="186"/>
      <c r="L34" s="186"/>
      <c r="M34" s="186"/>
      <c r="N34" s="186"/>
      <c r="O34" s="186"/>
      <c r="P34" s="186"/>
      <c r="Q34" s="186"/>
      <c r="R34" s="186"/>
      <c r="S34" s="186"/>
      <c r="T34" s="186"/>
    </row>
    <row r="35" spans="2:20" ht="18.75" hidden="1">
      <c r="B35" s="236" t="s">
        <v>157</v>
      </c>
      <c r="C35" s="186"/>
      <c r="D35" s="186"/>
      <c r="E35" s="186"/>
      <c r="F35" s="186"/>
      <c r="G35" s="186"/>
      <c r="H35" s="186"/>
      <c r="I35" s="186"/>
      <c r="J35" s="186"/>
      <c r="K35" s="186"/>
      <c r="L35" s="186"/>
      <c r="M35" s="186"/>
      <c r="N35" s="186"/>
      <c r="O35" s="186"/>
      <c r="P35" s="186"/>
      <c r="Q35" s="186"/>
      <c r="R35" s="186"/>
      <c r="S35" s="186"/>
      <c r="T35" s="186"/>
    </row>
    <row r="36" spans="2:20" s="211" customFormat="1" ht="18.75">
      <c r="B36" s="784" t="s">
        <v>287</v>
      </c>
      <c r="C36" s="784"/>
      <c r="D36" s="784"/>
      <c r="E36" s="236"/>
      <c r="F36" s="236"/>
      <c r="G36" s="236"/>
      <c r="H36" s="236"/>
      <c r="I36" s="236"/>
      <c r="J36" s="236"/>
      <c r="K36" s="236"/>
      <c r="L36" s="236"/>
      <c r="M36" s="236"/>
      <c r="N36" s="784" t="s">
        <v>287</v>
      </c>
      <c r="O36" s="784"/>
      <c r="P36" s="784"/>
      <c r="Q36" s="784"/>
      <c r="R36" s="784"/>
      <c r="S36" s="784"/>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55" t="s">
        <v>243</v>
      </c>
      <c r="C38" s="655"/>
      <c r="D38" s="655"/>
      <c r="E38" s="210"/>
      <c r="F38" s="210"/>
      <c r="G38" s="210"/>
      <c r="H38" s="210"/>
      <c r="I38" s="182"/>
      <c r="J38" s="182"/>
      <c r="K38" s="182"/>
      <c r="L38" s="182"/>
      <c r="M38" s="656" t="s">
        <v>244</v>
      </c>
      <c r="N38" s="656"/>
      <c r="O38" s="656"/>
      <c r="P38" s="656"/>
      <c r="Q38" s="656"/>
      <c r="R38" s="656"/>
      <c r="S38" s="656"/>
      <c r="T38" s="656"/>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31" t="s">
        <v>158</v>
      </c>
      <c r="B1" s="831"/>
      <c r="C1" s="831"/>
      <c r="D1" s="238"/>
      <c r="E1" s="840" t="s">
        <v>159</v>
      </c>
      <c r="F1" s="840"/>
      <c r="G1" s="840"/>
      <c r="H1" s="840"/>
      <c r="I1" s="840"/>
      <c r="J1" s="840"/>
      <c r="K1" s="840"/>
      <c r="L1" s="840"/>
      <c r="M1" s="840"/>
      <c r="N1" s="840"/>
      <c r="O1" s="191"/>
      <c r="P1" s="836" t="s">
        <v>357</v>
      </c>
      <c r="Q1" s="836"/>
      <c r="R1" s="836"/>
      <c r="S1" s="836"/>
      <c r="T1" s="836"/>
    </row>
    <row r="2" spans="1:20" ht="15.75" customHeight="1">
      <c r="A2" s="832" t="s">
        <v>319</v>
      </c>
      <c r="B2" s="832"/>
      <c r="C2" s="832"/>
      <c r="D2" s="832"/>
      <c r="E2" s="834" t="s">
        <v>160</v>
      </c>
      <c r="F2" s="834"/>
      <c r="G2" s="834"/>
      <c r="H2" s="834"/>
      <c r="I2" s="834"/>
      <c r="J2" s="834"/>
      <c r="K2" s="834"/>
      <c r="L2" s="834"/>
      <c r="M2" s="834"/>
      <c r="N2" s="834"/>
      <c r="O2" s="194"/>
      <c r="P2" s="837" t="s">
        <v>299</v>
      </c>
      <c r="Q2" s="837"/>
      <c r="R2" s="837"/>
      <c r="S2" s="837"/>
      <c r="T2" s="837"/>
    </row>
    <row r="3" spans="1:20" ht="17.25">
      <c r="A3" s="832" t="s">
        <v>250</v>
      </c>
      <c r="B3" s="832"/>
      <c r="C3" s="832"/>
      <c r="D3" s="239"/>
      <c r="E3" s="842" t="s">
        <v>251</v>
      </c>
      <c r="F3" s="842"/>
      <c r="G3" s="842"/>
      <c r="H3" s="842"/>
      <c r="I3" s="842"/>
      <c r="J3" s="842"/>
      <c r="K3" s="842"/>
      <c r="L3" s="842"/>
      <c r="M3" s="842"/>
      <c r="N3" s="842"/>
      <c r="O3" s="194"/>
      <c r="P3" s="838" t="s">
        <v>358</v>
      </c>
      <c r="Q3" s="838"/>
      <c r="R3" s="838"/>
      <c r="S3" s="838"/>
      <c r="T3" s="838"/>
    </row>
    <row r="4" spans="1:20" ht="18.75" customHeight="1">
      <c r="A4" s="833" t="s">
        <v>252</v>
      </c>
      <c r="B4" s="833"/>
      <c r="C4" s="833"/>
      <c r="D4" s="835"/>
      <c r="E4" s="835"/>
      <c r="F4" s="835"/>
      <c r="G4" s="835"/>
      <c r="H4" s="835"/>
      <c r="I4" s="835"/>
      <c r="J4" s="835"/>
      <c r="K4" s="835"/>
      <c r="L4" s="835"/>
      <c r="M4" s="835"/>
      <c r="N4" s="835"/>
      <c r="O4" s="195"/>
      <c r="P4" s="837" t="s">
        <v>291</v>
      </c>
      <c r="Q4" s="838"/>
      <c r="R4" s="838"/>
      <c r="S4" s="838"/>
      <c r="T4" s="838"/>
    </row>
    <row r="5" spans="1:23" ht="15">
      <c r="A5" s="208"/>
      <c r="B5" s="208"/>
      <c r="C5" s="240"/>
      <c r="D5" s="240"/>
      <c r="E5" s="208"/>
      <c r="F5" s="208"/>
      <c r="G5" s="208"/>
      <c r="H5" s="208"/>
      <c r="I5" s="208"/>
      <c r="J5" s="208"/>
      <c r="K5" s="208"/>
      <c r="L5" s="208"/>
      <c r="P5" s="821" t="s">
        <v>314</v>
      </c>
      <c r="Q5" s="821"/>
      <c r="R5" s="821"/>
      <c r="S5" s="821"/>
      <c r="T5" s="821"/>
      <c r="U5" s="241"/>
      <c r="V5" s="241"/>
      <c r="W5" s="241"/>
    </row>
    <row r="6" spans="1:23" ht="29.25" customHeight="1">
      <c r="A6" s="790" t="s">
        <v>57</v>
      </c>
      <c r="B6" s="818"/>
      <c r="C6" s="813" t="s">
        <v>2</v>
      </c>
      <c r="D6" s="822" t="s">
        <v>161</v>
      </c>
      <c r="E6" s="823"/>
      <c r="F6" s="823"/>
      <c r="G6" s="823"/>
      <c r="H6" s="823"/>
      <c r="I6" s="823"/>
      <c r="J6" s="824"/>
      <c r="K6" s="843" t="s">
        <v>162</v>
      </c>
      <c r="L6" s="844"/>
      <c r="M6" s="844"/>
      <c r="N6" s="844"/>
      <c r="O6" s="844"/>
      <c r="P6" s="844"/>
      <c r="Q6" s="844"/>
      <c r="R6" s="844"/>
      <c r="S6" s="844"/>
      <c r="T6" s="845"/>
      <c r="U6" s="242"/>
      <c r="V6" s="243"/>
      <c r="W6" s="243"/>
    </row>
    <row r="7" spans="1:20" ht="19.5" customHeight="1">
      <c r="A7" s="792"/>
      <c r="B7" s="819"/>
      <c r="C7" s="814"/>
      <c r="D7" s="823" t="s">
        <v>7</v>
      </c>
      <c r="E7" s="823"/>
      <c r="F7" s="823"/>
      <c r="G7" s="823"/>
      <c r="H7" s="823"/>
      <c r="I7" s="823"/>
      <c r="J7" s="824"/>
      <c r="K7" s="846"/>
      <c r="L7" s="847"/>
      <c r="M7" s="847"/>
      <c r="N7" s="847"/>
      <c r="O7" s="847"/>
      <c r="P7" s="847"/>
      <c r="Q7" s="847"/>
      <c r="R7" s="847"/>
      <c r="S7" s="847"/>
      <c r="T7" s="848"/>
    </row>
    <row r="8" spans="1:20" ht="33" customHeight="1">
      <c r="A8" s="792"/>
      <c r="B8" s="819"/>
      <c r="C8" s="814"/>
      <c r="D8" s="811" t="s">
        <v>163</v>
      </c>
      <c r="E8" s="849"/>
      <c r="F8" s="812" t="s">
        <v>164</v>
      </c>
      <c r="G8" s="849"/>
      <c r="H8" s="812" t="s">
        <v>165</v>
      </c>
      <c r="I8" s="849"/>
      <c r="J8" s="812" t="s">
        <v>166</v>
      </c>
      <c r="K8" s="839" t="s">
        <v>167</v>
      </c>
      <c r="L8" s="839"/>
      <c r="M8" s="839"/>
      <c r="N8" s="839" t="s">
        <v>168</v>
      </c>
      <c r="O8" s="839"/>
      <c r="P8" s="839"/>
      <c r="Q8" s="812" t="s">
        <v>169</v>
      </c>
      <c r="R8" s="841" t="s">
        <v>170</v>
      </c>
      <c r="S8" s="841" t="s">
        <v>171</v>
      </c>
      <c r="T8" s="812" t="s">
        <v>172</v>
      </c>
    </row>
    <row r="9" spans="1:20" ht="18.75" customHeight="1">
      <c r="A9" s="792"/>
      <c r="B9" s="819"/>
      <c r="C9" s="814"/>
      <c r="D9" s="811" t="s">
        <v>173</v>
      </c>
      <c r="E9" s="812" t="s">
        <v>174</v>
      </c>
      <c r="F9" s="812" t="s">
        <v>173</v>
      </c>
      <c r="G9" s="812" t="s">
        <v>174</v>
      </c>
      <c r="H9" s="812" t="s">
        <v>173</v>
      </c>
      <c r="I9" s="812" t="s">
        <v>175</v>
      </c>
      <c r="J9" s="812"/>
      <c r="K9" s="839"/>
      <c r="L9" s="839"/>
      <c r="M9" s="839"/>
      <c r="N9" s="839"/>
      <c r="O9" s="839"/>
      <c r="P9" s="839"/>
      <c r="Q9" s="812"/>
      <c r="R9" s="841"/>
      <c r="S9" s="841"/>
      <c r="T9" s="812"/>
    </row>
    <row r="10" spans="1:20" ht="23.25" customHeight="1">
      <c r="A10" s="794"/>
      <c r="B10" s="820"/>
      <c r="C10" s="815"/>
      <c r="D10" s="811"/>
      <c r="E10" s="812"/>
      <c r="F10" s="812"/>
      <c r="G10" s="812"/>
      <c r="H10" s="812"/>
      <c r="I10" s="812"/>
      <c r="J10" s="812"/>
      <c r="K10" s="244" t="s">
        <v>176</v>
      </c>
      <c r="L10" s="244" t="s">
        <v>151</v>
      </c>
      <c r="M10" s="244" t="s">
        <v>177</v>
      </c>
      <c r="N10" s="244" t="s">
        <v>176</v>
      </c>
      <c r="O10" s="244" t="s">
        <v>178</v>
      </c>
      <c r="P10" s="244" t="s">
        <v>179</v>
      </c>
      <c r="Q10" s="812"/>
      <c r="R10" s="841"/>
      <c r="S10" s="841"/>
      <c r="T10" s="812"/>
    </row>
    <row r="11" spans="1:32" s="201" customFormat="1" ht="17.25" customHeight="1">
      <c r="A11" s="816" t="s">
        <v>6</v>
      </c>
      <c r="B11" s="817"/>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28" t="s">
        <v>320</v>
      </c>
      <c r="B12" s="82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07" t="s">
        <v>296</v>
      </c>
      <c r="B13" s="80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10" t="s">
        <v>180</v>
      </c>
      <c r="B14" s="81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265</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297</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268</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269</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270</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271</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276</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278</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279</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280</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282</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284</v>
      </c>
      <c r="AI28" s="190">
        <f>82/88</f>
        <v>0.9318181818181818</v>
      </c>
    </row>
    <row r="29" spans="1:20" ht="15.75" customHeight="1">
      <c r="A29" s="202"/>
      <c r="B29" s="826" t="s">
        <v>308</v>
      </c>
      <c r="C29" s="826"/>
      <c r="D29" s="826"/>
      <c r="E29" s="826"/>
      <c r="F29" s="258"/>
      <c r="G29" s="258"/>
      <c r="H29" s="258"/>
      <c r="I29" s="258"/>
      <c r="J29" s="258"/>
      <c r="K29" s="258"/>
      <c r="L29" s="206"/>
      <c r="M29" s="825" t="s">
        <v>321</v>
      </c>
      <c r="N29" s="825"/>
      <c r="O29" s="825"/>
      <c r="P29" s="825"/>
      <c r="Q29" s="825"/>
      <c r="R29" s="825"/>
      <c r="S29" s="825"/>
      <c r="T29" s="825"/>
    </row>
    <row r="30" spans="1:20" ht="18.75" customHeight="1">
      <c r="A30" s="202"/>
      <c r="B30" s="827" t="s">
        <v>153</v>
      </c>
      <c r="C30" s="827"/>
      <c r="D30" s="827"/>
      <c r="E30" s="827"/>
      <c r="F30" s="205"/>
      <c r="G30" s="205"/>
      <c r="H30" s="205"/>
      <c r="I30" s="205"/>
      <c r="J30" s="205"/>
      <c r="K30" s="205"/>
      <c r="L30" s="206"/>
      <c r="M30" s="830" t="s">
        <v>154</v>
      </c>
      <c r="N30" s="830"/>
      <c r="O30" s="830"/>
      <c r="P30" s="830"/>
      <c r="Q30" s="830"/>
      <c r="R30" s="830"/>
      <c r="S30" s="830"/>
      <c r="T30" s="830"/>
    </row>
    <row r="31" spans="1:20" ht="18.75">
      <c r="A31" s="208"/>
      <c r="B31" s="782"/>
      <c r="C31" s="782"/>
      <c r="D31" s="782"/>
      <c r="E31" s="782"/>
      <c r="F31" s="209"/>
      <c r="G31" s="209"/>
      <c r="H31" s="209"/>
      <c r="I31" s="209"/>
      <c r="J31" s="209"/>
      <c r="K31" s="209"/>
      <c r="L31" s="209"/>
      <c r="M31" s="783"/>
      <c r="N31" s="783"/>
      <c r="O31" s="783"/>
      <c r="P31" s="783"/>
      <c r="Q31" s="783"/>
      <c r="R31" s="783"/>
      <c r="S31" s="783"/>
      <c r="T31" s="783"/>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09" t="s">
        <v>287</v>
      </c>
      <c r="C33" s="809"/>
      <c r="D33" s="809"/>
      <c r="E33" s="809"/>
      <c r="F33" s="809"/>
      <c r="G33" s="259"/>
      <c r="H33" s="259"/>
      <c r="I33" s="259"/>
      <c r="J33" s="259"/>
      <c r="K33" s="259"/>
      <c r="L33" s="259"/>
      <c r="M33" s="259"/>
      <c r="N33" s="809" t="s">
        <v>287</v>
      </c>
      <c r="O33" s="809"/>
      <c r="P33" s="809"/>
      <c r="Q33" s="809"/>
      <c r="R33" s="809"/>
      <c r="S33" s="80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55" t="s">
        <v>243</v>
      </c>
      <c r="C35" s="655"/>
      <c r="D35" s="655"/>
      <c r="E35" s="655"/>
      <c r="F35" s="210"/>
      <c r="G35" s="210"/>
      <c r="H35" s="210"/>
      <c r="I35" s="182"/>
      <c r="J35" s="182"/>
      <c r="K35" s="182"/>
      <c r="L35" s="182"/>
      <c r="M35" s="656" t="s">
        <v>244</v>
      </c>
      <c r="N35" s="656"/>
      <c r="O35" s="656"/>
      <c r="P35" s="656"/>
      <c r="Q35" s="656"/>
      <c r="R35" s="656"/>
      <c r="S35" s="656"/>
      <c r="T35" s="656"/>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129</v>
      </c>
    </row>
    <row r="39" spans="2:8" s="262" customFormat="1" ht="15" hidden="1">
      <c r="B39" s="263" t="s">
        <v>181</v>
      </c>
      <c r="C39" s="263"/>
      <c r="D39" s="263"/>
      <c r="E39" s="263"/>
      <c r="F39" s="263"/>
      <c r="G39" s="263"/>
      <c r="H39" s="263"/>
    </row>
    <row r="40" spans="2:8" s="264" customFormat="1" ht="15" hidden="1">
      <c r="B40" s="263" t="s">
        <v>182</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53" t="s">
        <v>183</v>
      </c>
      <c r="B1" s="853"/>
      <c r="C1" s="853"/>
      <c r="D1" s="856" t="s">
        <v>360</v>
      </c>
      <c r="E1" s="856"/>
      <c r="F1" s="856"/>
      <c r="G1" s="856"/>
      <c r="H1" s="856"/>
      <c r="I1" s="856"/>
      <c r="J1" s="857" t="s">
        <v>361</v>
      </c>
      <c r="K1" s="858"/>
      <c r="L1" s="858"/>
    </row>
    <row r="2" spans="1:12" ht="34.5" customHeight="1">
      <c r="A2" s="859" t="s">
        <v>322</v>
      </c>
      <c r="B2" s="859"/>
      <c r="C2" s="859"/>
      <c r="D2" s="856"/>
      <c r="E2" s="856"/>
      <c r="F2" s="856"/>
      <c r="G2" s="856"/>
      <c r="H2" s="856"/>
      <c r="I2" s="856"/>
      <c r="J2" s="860" t="s">
        <v>362</v>
      </c>
      <c r="K2" s="861"/>
      <c r="L2" s="861"/>
    </row>
    <row r="3" spans="1:12" ht="15" customHeight="1">
      <c r="A3" s="265" t="s">
        <v>252</v>
      </c>
      <c r="B3" s="174"/>
      <c r="C3" s="862"/>
      <c r="D3" s="862"/>
      <c r="E3" s="862"/>
      <c r="F3" s="862"/>
      <c r="G3" s="862"/>
      <c r="H3" s="862"/>
      <c r="I3" s="862"/>
      <c r="J3" s="854"/>
      <c r="K3" s="855"/>
      <c r="L3" s="855"/>
    </row>
    <row r="4" spans="1:12" ht="15.75" customHeight="1">
      <c r="A4" s="266"/>
      <c r="B4" s="266"/>
      <c r="C4" s="267"/>
      <c r="D4" s="267"/>
      <c r="E4" s="170"/>
      <c r="F4" s="170"/>
      <c r="G4" s="170"/>
      <c r="H4" s="268"/>
      <c r="I4" s="268"/>
      <c r="J4" s="850" t="s">
        <v>184</v>
      </c>
      <c r="K4" s="850"/>
      <c r="L4" s="850"/>
    </row>
    <row r="5" spans="1:12" s="269" customFormat="1" ht="28.5" customHeight="1">
      <c r="A5" s="864" t="s">
        <v>57</v>
      </c>
      <c r="B5" s="864"/>
      <c r="C5" s="774" t="s">
        <v>31</v>
      </c>
      <c r="D5" s="774" t="s">
        <v>185</v>
      </c>
      <c r="E5" s="774"/>
      <c r="F5" s="774"/>
      <c r="G5" s="774"/>
      <c r="H5" s="774" t="s">
        <v>186</v>
      </c>
      <c r="I5" s="774"/>
      <c r="J5" s="774" t="s">
        <v>187</v>
      </c>
      <c r="K5" s="774"/>
      <c r="L5" s="774"/>
    </row>
    <row r="6" spans="1:13" s="269" customFormat="1" ht="80.25" customHeight="1">
      <c r="A6" s="864"/>
      <c r="B6" s="864"/>
      <c r="C6" s="774"/>
      <c r="D6" s="215" t="s">
        <v>188</v>
      </c>
      <c r="E6" s="215" t="s">
        <v>189</v>
      </c>
      <c r="F6" s="215" t="s">
        <v>323</v>
      </c>
      <c r="G6" s="215" t="s">
        <v>190</v>
      </c>
      <c r="H6" s="215" t="s">
        <v>191</v>
      </c>
      <c r="I6" s="215" t="s">
        <v>192</v>
      </c>
      <c r="J6" s="215" t="s">
        <v>193</v>
      </c>
      <c r="K6" s="215" t="s">
        <v>194</v>
      </c>
      <c r="L6" s="215" t="s">
        <v>195</v>
      </c>
      <c r="M6" s="270"/>
    </row>
    <row r="7" spans="1:12" s="271" customFormat="1" ht="16.5" customHeight="1">
      <c r="A7" s="851" t="s">
        <v>6</v>
      </c>
      <c r="B7" s="851"/>
      <c r="C7" s="221">
        <v>1</v>
      </c>
      <c r="D7" s="221">
        <v>2</v>
      </c>
      <c r="E7" s="221">
        <v>3</v>
      </c>
      <c r="F7" s="221">
        <v>4</v>
      </c>
      <c r="G7" s="221">
        <v>5</v>
      </c>
      <c r="H7" s="221">
        <v>6</v>
      </c>
      <c r="I7" s="221">
        <v>7</v>
      </c>
      <c r="J7" s="221">
        <v>8</v>
      </c>
      <c r="K7" s="221">
        <v>9</v>
      </c>
      <c r="L7" s="221">
        <v>10</v>
      </c>
    </row>
    <row r="8" spans="1:12" s="271" customFormat="1" ht="16.5" customHeight="1">
      <c r="A8" s="867" t="s">
        <v>320</v>
      </c>
      <c r="B8" s="868"/>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65" t="s">
        <v>296</v>
      </c>
      <c r="B9" s="866"/>
      <c r="C9" s="224">
        <v>9</v>
      </c>
      <c r="D9" s="224">
        <v>2</v>
      </c>
      <c r="E9" s="224">
        <v>2</v>
      </c>
      <c r="F9" s="224">
        <v>0</v>
      </c>
      <c r="G9" s="224">
        <v>5</v>
      </c>
      <c r="H9" s="224">
        <v>8</v>
      </c>
      <c r="I9" s="224">
        <v>0</v>
      </c>
      <c r="J9" s="224">
        <v>8</v>
      </c>
      <c r="K9" s="224">
        <v>1</v>
      </c>
      <c r="L9" s="224">
        <v>0</v>
      </c>
    </row>
    <row r="10" spans="1:12" s="271" customFormat="1" ht="16.5" customHeight="1">
      <c r="A10" s="852" t="s">
        <v>180</v>
      </c>
      <c r="B10" s="852"/>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196</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265</v>
      </c>
      <c r="C13" s="272">
        <f aca="true" t="shared" si="3" ref="C13:C23">D13+E13+F13+G13</f>
        <v>0</v>
      </c>
      <c r="D13" s="231">
        <v>0</v>
      </c>
      <c r="E13" s="231">
        <v>0</v>
      </c>
      <c r="F13" s="231">
        <v>0</v>
      </c>
      <c r="G13" s="231">
        <v>0</v>
      </c>
      <c r="H13" s="231">
        <v>0</v>
      </c>
      <c r="I13" s="231">
        <v>0</v>
      </c>
      <c r="J13" s="273">
        <v>0</v>
      </c>
      <c r="K13" s="273">
        <v>0</v>
      </c>
      <c r="L13" s="273">
        <v>0</v>
      </c>
      <c r="AF13" s="271" t="s">
        <v>264</v>
      </c>
    </row>
    <row r="14" spans="1:37" s="271" customFormat="1" ht="16.5" customHeight="1">
      <c r="A14" s="274">
        <v>2</v>
      </c>
      <c r="B14" s="68" t="s">
        <v>297</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268</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269</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324</v>
      </c>
      <c r="C17" s="272">
        <f t="shared" si="3"/>
        <v>1</v>
      </c>
      <c r="D17" s="231">
        <v>0</v>
      </c>
      <c r="E17" s="231">
        <v>0</v>
      </c>
      <c r="F17" s="231">
        <v>0</v>
      </c>
      <c r="G17" s="231">
        <v>1</v>
      </c>
      <c r="H17" s="231">
        <v>1</v>
      </c>
      <c r="I17" s="231">
        <v>0</v>
      </c>
      <c r="J17" s="273">
        <v>1</v>
      </c>
      <c r="K17" s="273">
        <v>0</v>
      </c>
      <c r="L17" s="273">
        <v>0</v>
      </c>
      <c r="AF17" s="199" t="s">
        <v>267</v>
      </c>
    </row>
    <row r="18" spans="1:12" s="271" customFormat="1" ht="16.5" customHeight="1">
      <c r="A18" s="274">
        <v>6</v>
      </c>
      <c r="B18" s="68" t="s">
        <v>271</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276</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278</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279</v>
      </c>
      <c r="C21" s="272">
        <f t="shared" si="3"/>
        <v>0</v>
      </c>
      <c r="D21" s="231">
        <v>0</v>
      </c>
      <c r="E21" s="231">
        <v>0</v>
      </c>
      <c r="F21" s="231">
        <v>0</v>
      </c>
      <c r="G21" s="231">
        <v>0</v>
      </c>
      <c r="H21" s="231">
        <v>0</v>
      </c>
      <c r="I21" s="231">
        <v>0</v>
      </c>
      <c r="J21" s="273">
        <v>0</v>
      </c>
      <c r="K21" s="273">
        <v>0</v>
      </c>
      <c r="L21" s="273">
        <v>0</v>
      </c>
      <c r="AJ21" s="271" t="s">
        <v>272</v>
      </c>
      <c r="AK21" s="271" t="s">
        <v>273</v>
      </c>
      <c r="AL21" s="271" t="s">
        <v>274</v>
      </c>
      <c r="AM21" s="199" t="s">
        <v>275</v>
      </c>
    </row>
    <row r="22" spans="1:39" s="271" customFormat="1" ht="16.5" customHeight="1">
      <c r="A22" s="274">
        <v>10</v>
      </c>
      <c r="B22" s="68" t="s">
        <v>280</v>
      </c>
      <c r="C22" s="272">
        <f t="shared" si="3"/>
        <v>1</v>
      </c>
      <c r="D22" s="231">
        <v>0</v>
      </c>
      <c r="E22" s="231">
        <v>1</v>
      </c>
      <c r="F22" s="231">
        <v>0</v>
      </c>
      <c r="G22" s="231">
        <v>0</v>
      </c>
      <c r="H22" s="231">
        <v>1</v>
      </c>
      <c r="I22" s="231">
        <v>0</v>
      </c>
      <c r="J22" s="273">
        <v>1</v>
      </c>
      <c r="K22" s="273">
        <v>0</v>
      </c>
      <c r="L22" s="273">
        <v>0</v>
      </c>
      <c r="AM22" s="199" t="s">
        <v>277</v>
      </c>
    </row>
    <row r="23" spans="1:12" s="271" customFormat="1" ht="16.5" customHeight="1">
      <c r="A23" s="274">
        <v>11</v>
      </c>
      <c r="B23" s="68" t="s">
        <v>282</v>
      </c>
      <c r="C23" s="272">
        <f t="shared" si="3"/>
        <v>0</v>
      </c>
      <c r="D23" s="231">
        <v>0</v>
      </c>
      <c r="E23" s="231">
        <v>0</v>
      </c>
      <c r="F23" s="231">
        <v>0</v>
      </c>
      <c r="G23" s="231">
        <v>0</v>
      </c>
      <c r="H23" s="231">
        <v>0</v>
      </c>
      <c r="I23" s="231">
        <v>0</v>
      </c>
      <c r="J23" s="273">
        <v>0</v>
      </c>
      <c r="K23" s="273">
        <v>0</v>
      </c>
      <c r="L23" s="273">
        <v>0</v>
      </c>
    </row>
    <row r="24" ht="9" customHeight="1">
      <c r="AJ24" s="233" t="s">
        <v>272</v>
      </c>
    </row>
    <row r="25" spans="1:36" ht="15.75" customHeight="1">
      <c r="A25" s="772" t="s">
        <v>325</v>
      </c>
      <c r="B25" s="772"/>
      <c r="C25" s="772"/>
      <c r="D25" s="772"/>
      <c r="E25" s="182"/>
      <c r="F25" s="779" t="s">
        <v>283</v>
      </c>
      <c r="G25" s="779"/>
      <c r="H25" s="779"/>
      <c r="I25" s="779"/>
      <c r="J25" s="779"/>
      <c r="K25" s="779"/>
      <c r="L25" s="779"/>
      <c r="AJ25" s="190" t="s">
        <v>281</v>
      </c>
    </row>
    <row r="26" spans="1:44" ht="15" customHeight="1">
      <c r="A26" s="785" t="s">
        <v>153</v>
      </c>
      <c r="B26" s="785"/>
      <c r="C26" s="785"/>
      <c r="D26" s="785"/>
      <c r="E26" s="183"/>
      <c r="F26" s="788" t="s">
        <v>154</v>
      </c>
      <c r="G26" s="788"/>
      <c r="H26" s="788"/>
      <c r="I26" s="788"/>
      <c r="J26" s="788"/>
      <c r="K26" s="788"/>
      <c r="L26" s="788"/>
      <c r="AR26" s="190"/>
    </row>
    <row r="27" spans="1:12" s="170" customFormat="1" ht="18.75">
      <c r="A27" s="782"/>
      <c r="B27" s="782"/>
      <c r="C27" s="782"/>
      <c r="D27" s="782"/>
      <c r="E27" s="182"/>
      <c r="F27" s="783"/>
      <c r="G27" s="783"/>
      <c r="H27" s="783"/>
      <c r="I27" s="783"/>
      <c r="J27" s="783"/>
      <c r="K27" s="783"/>
      <c r="L27" s="783"/>
    </row>
    <row r="28" spans="1:35" ht="18">
      <c r="A28" s="187"/>
      <c r="B28" s="187"/>
      <c r="C28" s="182"/>
      <c r="D28" s="182"/>
      <c r="E28" s="182"/>
      <c r="F28" s="182"/>
      <c r="G28" s="182"/>
      <c r="H28" s="182"/>
      <c r="I28" s="182"/>
      <c r="J28" s="182"/>
      <c r="K28" s="182"/>
      <c r="L28" s="182"/>
      <c r="AG28" s="233" t="s">
        <v>284</v>
      </c>
      <c r="AI28" s="190">
        <f>82/88</f>
        <v>0.9318181818181818</v>
      </c>
    </row>
    <row r="29" spans="1:12" ht="18">
      <c r="A29" s="187"/>
      <c r="B29" s="863" t="s">
        <v>287</v>
      </c>
      <c r="C29" s="863"/>
      <c r="D29" s="182"/>
      <c r="E29" s="182"/>
      <c r="F29" s="182"/>
      <c r="G29" s="182"/>
      <c r="H29" s="863" t="s">
        <v>287</v>
      </c>
      <c r="I29" s="863"/>
      <c r="J29" s="863"/>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197</v>
      </c>
      <c r="B32" s="185"/>
      <c r="C32" s="186"/>
      <c r="D32" s="186"/>
      <c r="E32" s="186"/>
      <c r="F32" s="186"/>
      <c r="G32" s="186"/>
      <c r="H32" s="186"/>
      <c r="I32" s="186"/>
      <c r="J32" s="186"/>
      <c r="K32" s="186"/>
      <c r="L32" s="186"/>
    </row>
    <row r="33" spans="1:12" s="211" customFormat="1" ht="18.75" hidden="1">
      <c r="A33" s="237"/>
      <c r="B33" s="279" t="s">
        <v>198</v>
      </c>
      <c r="C33" s="279"/>
      <c r="D33" s="279"/>
      <c r="E33" s="236"/>
      <c r="F33" s="236"/>
      <c r="G33" s="236"/>
      <c r="H33" s="236"/>
      <c r="I33" s="236"/>
      <c r="J33" s="236"/>
      <c r="K33" s="236"/>
      <c r="L33" s="236"/>
    </row>
    <row r="34" spans="1:12" s="211" customFormat="1" ht="18.75" hidden="1">
      <c r="A34" s="237"/>
      <c r="B34" s="279" t="s">
        <v>199</v>
      </c>
      <c r="C34" s="279"/>
      <c r="D34" s="279"/>
      <c r="E34" s="279"/>
      <c r="F34" s="236"/>
      <c r="G34" s="236"/>
      <c r="H34" s="236"/>
      <c r="I34" s="236"/>
      <c r="J34" s="236"/>
      <c r="K34" s="236"/>
      <c r="L34" s="236"/>
    </row>
    <row r="35" spans="1:12" s="211" customFormat="1" ht="18.75" hidden="1">
      <c r="A35" s="237"/>
      <c r="B35" s="236" t="s">
        <v>200</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55" t="s">
        <v>243</v>
      </c>
      <c r="B37" s="655"/>
      <c r="C37" s="655"/>
      <c r="D37" s="655"/>
      <c r="E37" s="210"/>
      <c r="F37" s="656" t="s">
        <v>244</v>
      </c>
      <c r="G37" s="656"/>
      <c r="H37" s="656"/>
      <c r="I37" s="656"/>
      <c r="J37" s="656"/>
      <c r="K37" s="656"/>
      <c r="L37" s="656"/>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76" t="s">
        <v>201</v>
      </c>
      <c r="B1" s="876"/>
      <c r="C1" s="876"/>
      <c r="D1" s="856" t="s">
        <v>363</v>
      </c>
      <c r="E1" s="856"/>
      <c r="F1" s="856"/>
      <c r="G1" s="856"/>
      <c r="H1" s="856"/>
      <c r="I1" s="170"/>
      <c r="J1" s="171" t="s">
        <v>357</v>
      </c>
      <c r="K1" s="280"/>
      <c r="L1" s="280"/>
    </row>
    <row r="2" spans="1:12" ht="15.75" customHeight="1">
      <c r="A2" s="880" t="s">
        <v>298</v>
      </c>
      <c r="B2" s="880"/>
      <c r="C2" s="880"/>
      <c r="D2" s="856"/>
      <c r="E2" s="856"/>
      <c r="F2" s="856"/>
      <c r="G2" s="856"/>
      <c r="H2" s="856"/>
      <c r="I2" s="170"/>
      <c r="J2" s="281" t="s">
        <v>299</v>
      </c>
      <c r="K2" s="281"/>
      <c r="L2" s="281"/>
    </row>
    <row r="3" spans="1:12" ht="18.75" customHeight="1">
      <c r="A3" s="798" t="s">
        <v>250</v>
      </c>
      <c r="B3" s="798"/>
      <c r="C3" s="798"/>
      <c r="D3" s="167"/>
      <c r="E3" s="167"/>
      <c r="F3" s="167"/>
      <c r="G3" s="167"/>
      <c r="H3" s="167"/>
      <c r="I3" s="170"/>
      <c r="J3" s="174" t="s">
        <v>356</v>
      </c>
      <c r="K3" s="174"/>
      <c r="L3" s="174"/>
    </row>
    <row r="4" spans="1:12" ht="15.75" customHeight="1">
      <c r="A4" s="877" t="s">
        <v>326</v>
      </c>
      <c r="B4" s="877"/>
      <c r="C4" s="877"/>
      <c r="D4" s="875"/>
      <c r="E4" s="875"/>
      <c r="F4" s="875"/>
      <c r="G4" s="875"/>
      <c r="H4" s="875"/>
      <c r="I4" s="170"/>
      <c r="J4" s="282" t="s">
        <v>291</v>
      </c>
      <c r="K4" s="282"/>
      <c r="L4" s="282"/>
    </row>
    <row r="5" spans="1:12" ht="15.75">
      <c r="A5" s="881"/>
      <c r="B5" s="881"/>
      <c r="C5" s="166"/>
      <c r="D5" s="170"/>
      <c r="E5" s="170"/>
      <c r="F5" s="170"/>
      <c r="G5" s="170"/>
      <c r="H5" s="283"/>
      <c r="I5" s="873" t="s">
        <v>327</v>
      </c>
      <c r="J5" s="873"/>
      <c r="K5" s="873"/>
      <c r="L5" s="873"/>
    </row>
    <row r="6" spans="1:12" ht="18.75" customHeight="1">
      <c r="A6" s="790" t="s">
        <v>57</v>
      </c>
      <c r="B6" s="791"/>
      <c r="C6" s="869" t="s">
        <v>202</v>
      </c>
      <c r="D6" s="786" t="s">
        <v>203</v>
      </c>
      <c r="E6" s="874"/>
      <c r="F6" s="787"/>
      <c r="G6" s="786" t="s">
        <v>204</v>
      </c>
      <c r="H6" s="874"/>
      <c r="I6" s="874"/>
      <c r="J6" s="874"/>
      <c r="K6" s="874"/>
      <c r="L6" s="787"/>
    </row>
    <row r="7" spans="1:12" ht="15.75" customHeight="1">
      <c r="A7" s="792"/>
      <c r="B7" s="793"/>
      <c r="C7" s="870"/>
      <c r="D7" s="786" t="s">
        <v>7</v>
      </c>
      <c r="E7" s="874"/>
      <c r="F7" s="787"/>
      <c r="G7" s="869" t="s">
        <v>30</v>
      </c>
      <c r="H7" s="786" t="s">
        <v>7</v>
      </c>
      <c r="I7" s="874"/>
      <c r="J7" s="874"/>
      <c r="K7" s="874"/>
      <c r="L7" s="787"/>
    </row>
    <row r="8" spans="1:12" ht="14.25" customHeight="1">
      <c r="A8" s="792"/>
      <c r="B8" s="793"/>
      <c r="C8" s="870"/>
      <c r="D8" s="869" t="s">
        <v>205</v>
      </c>
      <c r="E8" s="869" t="s">
        <v>206</v>
      </c>
      <c r="F8" s="869" t="s">
        <v>207</v>
      </c>
      <c r="G8" s="870"/>
      <c r="H8" s="869" t="s">
        <v>208</v>
      </c>
      <c r="I8" s="869" t="s">
        <v>209</v>
      </c>
      <c r="J8" s="869" t="s">
        <v>210</v>
      </c>
      <c r="K8" s="869" t="s">
        <v>211</v>
      </c>
      <c r="L8" s="869" t="s">
        <v>212</v>
      </c>
    </row>
    <row r="9" spans="1:12" ht="77.25" customHeight="1">
      <c r="A9" s="794"/>
      <c r="B9" s="795"/>
      <c r="C9" s="871"/>
      <c r="D9" s="871"/>
      <c r="E9" s="871"/>
      <c r="F9" s="871"/>
      <c r="G9" s="871"/>
      <c r="H9" s="871"/>
      <c r="I9" s="871"/>
      <c r="J9" s="871"/>
      <c r="K9" s="871"/>
      <c r="L9" s="871"/>
    </row>
    <row r="10" spans="1:12" s="271" customFormat="1" ht="16.5" customHeight="1">
      <c r="A10" s="882" t="s">
        <v>6</v>
      </c>
      <c r="B10" s="883"/>
      <c r="C10" s="220">
        <v>1</v>
      </c>
      <c r="D10" s="220">
        <v>2</v>
      </c>
      <c r="E10" s="220">
        <v>3</v>
      </c>
      <c r="F10" s="220">
        <v>4</v>
      </c>
      <c r="G10" s="220">
        <v>5</v>
      </c>
      <c r="H10" s="220">
        <v>6</v>
      </c>
      <c r="I10" s="220">
        <v>7</v>
      </c>
      <c r="J10" s="220">
        <v>8</v>
      </c>
      <c r="K10" s="221" t="s">
        <v>63</v>
      </c>
      <c r="L10" s="221" t="s">
        <v>83</v>
      </c>
    </row>
    <row r="11" spans="1:12" s="271" customFormat="1" ht="16.5" customHeight="1">
      <c r="A11" s="886" t="s">
        <v>295</v>
      </c>
      <c r="B11" s="887"/>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84" t="s">
        <v>296</v>
      </c>
      <c r="B12" s="885"/>
      <c r="C12" s="224">
        <v>12</v>
      </c>
      <c r="D12" s="224">
        <v>0</v>
      </c>
      <c r="E12" s="224">
        <v>1</v>
      </c>
      <c r="F12" s="224">
        <v>11</v>
      </c>
      <c r="G12" s="224">
        <v>10</v>
      </c>
      <c r="H12" s="224">
        <v>0</v>
      </c>
      <c r="I12" s="224">
        <v>0</v>
      </c>
      <c r="J12" s="224">
        <v>0</v>
      </c>
      <c r="K12" s="224">
        <v>6</v>
      </c>
      <c r="L12" s="224">
        <v>4</v>
      </c>
    </row>
    <row r="13" spans="1:32" s="271" customFormat="1" ht="16.5" customHeight="1">
      <c r="A13" s="878" t="s">
        <v>30</v>
      </c>
      <c r="B13" s="879"/>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264</v>
      </c>
    </row>
    <row r="14" spans="1:37" s="271" customFormat="1" ht="16.5" customHeight="1">
      <c r="A14" s="274" t="s">
        <v>0</v>
      </c>
      <c r="B14" s="198" t="s">
        <v>131</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265</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266</v>
      </c>
      <c r="C17" s="226">
        <f t="shared" si="2"/>
        <v>1</v>
      </c>
      <c r="D17" s="231">
        <v>0</v>
      </c>
      <c r="E17" s="231">
        <v>0</v>
      </c>
      <c r="F17" s="231">
        <v>1</v>
      </c>
      <c r="G17" s="226">
        <f t="shared" si="1"/>
        <v>1</v>
      </c>
      <c r="H17" s="231">
        <v>0</v>
      </c>
      <c r="I17" s="231">
        <v>0</v>
      </c>
      <c r="J17" s="273">
        <v>0</v>
      </c>
      <c r="K17" s="273">
        <v>0</v>
      </c>
      <c r="L17" s="273">
        <v>1</v>
      </c>
      <c r="M17" s="285"/>
      <c r="AF17" s="199" t="s">
        <v>267</v>
      </c>
    </row>
    <row r="18" spans="1:14" s="271" customFormat="1" ht="15.75" customHeight="1">
      <c r="A18" s="200">
        <v>3</v>
      </c>
      <c r="B18" s="68" t="s">
        <v>268</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269</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270</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271</v>
      </c>
      <c r="C21" s="226">
        <f t="shared" si="2"/>
        <v>0</v>
      </c>
      <c r="D21" s="231">
        <v>0</v>
      </c>
      <c r="E21" s="231">
        <v>0</v>
      </c>
      <c r="F21" s="231">
        <v>0</v>
      </c>
      <c r="G21" s="226">
        <f t="shared" si="1"/>
        <v>0</v>
      </c>
      <c r="H21" s="231">
        <v>0</v>
      </c>
      <c r="I21" s="231">
        <v>0</v>
      </c>
      <c r="J21" s="273">
        <v>0</v>
      </c>
      <c r="K21" s="273">
        <v>0</v>
      </c>
      <c r="L21" s="273">
        <v>0</v>
      </c>
      <c r="M21" s="285"/>
      <c r="AJ21" s="271" t="s">
        <v>272</v>
      </c>
      <c r="AK21" s="271" t="s">
        <v>273</v>
      </c>
      <c r="AL21" s="271" t="s">
        <v>274</v>
      </c>
      <c r="AM21" s="199" t="s">
        <v>275</v>
      </c>
    </row>
    <row r="22" spans="1:39" s="271" customFormat="1" ht="15.75" customHeight="1">
      <c r="A22" s="200">
        <v>7</v>
      </c>
      <c r="B22" s="68" t="s">
        <v>276</v>
      </c>
      <c r="C22" s="226">
        <f t="shared" si="2"/>
        <v>0</v>
      </c>
      <c r="D22" s="231">
        <v>0</v>
      </c>
      <c r="E22" s="231">
        <v>0</v>
      </c>
      <c r="F22" s="231">
        <v>0</v>
      </c>
      <c r="G22" s="226">
        <f t="shared" si="1"/>
        <v>0</v>
      </c>
      <c r="H22" s="231">
        <v>0</v>
      </c>
      <c r="I22" s="231">
        <v>0</v>
      </c>
      <c r="J22" s="273">
        <v>0</v>
      </c>
      <c r="K22" s="273">
        <v>0</v>
      </c>
      <c r="L22" s="273">
        <v>0</v>
      </c>
      <c r="M22" s="285"/>
      <c r="N22" s="178"/>
      <c r="AM22" s="199" t="s">
        <v>277</v>
      </c>
    </row>
    <row r="23" spans="1:13" s="271" customFormat="1" ht="15.75" customHeight="1">
      <c r="A23" s="200">
        <v>8</v>
      </c>
      <c r="B23" s="68" t="s">
        <v>278</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279</v>
      </c>
      <c r="C24" s="226">
        <f t="shared" si="2"/>
        <v>0</v>
      </c>
      <c r="D24" s="231">
        <v>0</v>
      </c>
      <c r="E24" s="231">
        <v>0</v>
      </c>
      <c r="F24" s="231">
        <v>0</v>
      </c>
      <c r="G24" s="226">
        <f t="shared" si="1"/>
        <v>0</v>
      </c>
      <c r="H24" s="231">
        <v>0</v>
      </c>
      <c r="I24" s="231">
        <v>0</v>
      </c>
      <c r="J24" s="273">
        <v>0</v>
      </c>
      <c r="K24" s="273">
        <v>0</v>
      </c>
      <c r="L24" s="273">
        <v>0</v>
      </c>
      <c r="M24" s="285"/>
      <c r="AJ24" s="271" t="s">
        <v>272</v>
      </c>
    </row>
    <row r="25" spans="1:36" s="271" customFormat="1" ht="15.75" customHeight="1">
      <c r="A25" s="200">
        <v>10</v>
      </c>
      <c r="B25" s="68" t="s">
        <v>280</v>
      </c>
      <c r="C25" s="226">
        <f t="shared" si="2"/>
        <v>1</v>
      </c>
      <c r="D25" s="231">
        <v>0</v>
      </c>
      <c r="E25" s="231">
        <v>0</v>
      </c>
      <c r="F25" s="231">
        <v>1</v>
      </c>
      <c r="G25" s="226">
        <f t="shared" si="1"/>
        <v>1</v>
      </c>
      <c r="H25" s="231">
        <v>0</v>
      </c>
      <c r="I25" s="231">
        <v>0</v>
      </c>
      <c r="J25" s="273">
        <v>0</v>
      </c>
      <c r="K25" s="273">
        <v>0</v>
      </c>
      <c r="L25" s="273">
        <v>1</v>
      </c>
      <c r="M25" s="285"/>
      <c r="AJ25" s="199" t="s">
        <v>281</v>
      </c>
    </row>
    <row r="26" spans="1:44" s="271" customFormat="1" ht="15.75" customHeight="1">
      <c r="A26" s="200">
        <v>11</v>
      </c>
      <c r="B26" s="68" t="s">
        <v>282</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72" t="s">
        <v>283</v>
      </c>
      <c r="B28" s="772"/>
      <c r="C28" s="772"/>
      <c r="D28" s="772"/>
      <c r="E28" s="772"/>
      <c r="F28" s="182"/>
      <c r="G28" s="181"/>
      <c r="H28" s="294" t="s">
        <v>328</v>
      </c>
      <c r="I28" s="295"/>
      <c r="J28" s="295"/>
      <c r="K28" s="295"/>
      <c r="L28" s="295"/>
      <c r="AG28" s="233" t="s">
        <v>284</v>
      </c>
      <c r="AI28" s="190">
        <f>82/88</f>
        <v>0.9318181818181818</v>
      </c>
    </row>
    <row r="29" spans="1:12" ht="15" customHeight="1">
      <c r="A29" s="785" t="s">
        <v>4</v>
      </c>
      <c r="B29" s="785"/>
      <c r="C29" s="785"/>
      <c r="D29" s="785"/>
      <c r="E29" s="785"/>
      <c r="F29" s="182"/>
      <c r="G29" s="183"/>
      <c r="H29" s="788" t="s">
        <v>154</v>
      </c>
      <c r="I29" s="788"/>
      <c r="J29" s="788"/>
      <c r="K29" s="788"/>
      <c r="L29" s="788"/>
    </row>
    <row r="30" spans="1:14" s="170" customFormat="1" ht="18.75">
      <c r="A30" s="782"/>
      <c r="B30" s="782"/>
      <c r="C30" s="782"/>
      <c r="D30" s="782"/>
      <c r="E30" s="782"/>
      <c r="F30" s="296"/>
      <c r="G30" s="182"/>
      <c r="H30" s="783"/>
      <c r="I30" s="783"/>
      <c r="J30" s="783"/>
      <c r="K30" s="783"/>
      <c r="L30" s="783"/>
      <c r="M30" s="297"/>
      <c r="N30" s="297"/>
    </row>
    <row r="31" spans="1:12" ht="18">
      <c r="A31" s="182"/>
      <c r="B31" s="182"/>
      <c r="C31" s="182"/>
      <c r="D31" s="182"/>
      <c r="E31" s="182"/>
      <c r="F31" s="182"/>
      <c r="G31" s="182"/>
      <c r="H31" s="182"/>
      <c r="I31" s="182"/>
      <c r="J31" s="182"/>
      <c r="K31" s="182"/>
      <c r="L31" s="298"/>
    </row>
    <row r="32" spans="1:12" ht="18">
      <c r="A32" s="182"/>
      <c r="B32" s="863" t="s">
        <v>287</v>
      </c>
      <c r="C32" s="863"/>
      <c r="D32" s="863"/>
      <c r="E32" s="863"/>
      <c r="F32" s="182"/>
      <c r="G32" s="182"/>
      <c r="H32" s="182"/>
      <c r="I32" s="863" t="s">
        <v>287</v>
      </c>
      <c r="J32" s="863"/>
      <c r="K32" s="863"/>
      <c r="L32" s="298"/>
    </row>
    <row r="33" spans="1:12" ht="10.5" customHeight="1">
      <c r="A33" s="182"/>
      <c r="B33" s="182"/>
      <c r="C33" s="299" t="s">
        <v>286</v>
      </c>
      <c r="D33" s="299"/>
      <c r="E33" s="299"/>
      <c r="F33" s="299"/>
      <c r="G33" s="299"/>
      <c r="H33" s="299"/>
      <c r="I33" s="299"/>
      <c r="J33" s="300" t="s">
        <v>286</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72" t="s">
        <v>213</v>
      </c>
      <c r="C40" s="872"/>
      <c r="D40" s="872"/>
      <c r="E40" s="872"/>
      <c r="F40" s="872"/>
      <c r="G40" s="303"/>
      <c r="H40" s="301"/>
      <c r="I40" s="301"/>
      <c r="J40" s="301"/>
      <c r="K40" s="301"/>
      <c r="L40" s="301"/>
      <c r="M40" s="265"/>
      <c r="N40" s="265"/>
      <c r="O40" s="265"/>
      <c r="P40" s="265"/>
    </row>
    <row r="41" spans="1:12" ht="12.75" customHeight="1" hidden="1">
      <c r="A41" s="182"/>
      <c r="B41" s="279" t="s">
        <v>214</v>
      </c>
      <c r="C41" s="304"/>
      <c r="D41" s="304"/>
      <c r="E41" s="304"/>
      <c r="F41" s="304"/>
      <c r="G41" s="182"/>
      <c r="H41" s="301"/>
      <c r="I41" s="301"/>
      <c r="J41" s="301"/>
      <c r="K41" s="301"/>
      <c r="L41" s="301"/>
    </row>
    <row r="42" spans="1:12" ht="12.75" customHeight="1" hidden="1">
      <c r="A42" s="182"/>
      <c r="B42" s="236" t="s">
        <v>215</v>
      </c>
      <c r="C42" s="304"/>
      <c r="D42" s="304"/>
      <c r="E42" s="304"/>
      <c r="F42" s="304"/>
      <c r="G42" s="182"/>
      <c r="H42" s="301"/>
      <c r="I42" s="301"/>
      <c r="J42" s="301"/>
      <c r="K42" s="301"/>
      <c r="L42" s="301"/>
    </row>
    <row r="43" spans="1:12" ht="18.75">
      <c r="A43" s="655" t="s">
        <v>329</v>
      </c>
      <c r="B43" s="655"/>
      <c r="C43" s="655"/>
      <c r="D43" s="655"/>
      <c r="E43" s="655"/>
      <c r="F43" s="182"/>
      <c r="G43" s="301"/>
      <c r="H43" s="656" t="s">
        <v>244</v>
      </c>
      <c r="I43" s="656"/>
      <c r="J43" s="656"/>
      <c r="K43" s="656"/>
      <c r="L43" s="656"/>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800" t="s">
        <v>216</v>
      </c>
      <c r="B1" s="800"/>
      <c r="C1" s="800"/>
      <c r="D1" s="800"/>
      <c r="E1" s="306"/>
      <c r="F1" s="796" t="s">
        <v>364</v>
      </c>
      <c r="G1" s="796"/>
      <c r="H1" s="796"/>
      <c r="I1" s="796"/>
      <c r="J1" s="796"/>
      <c r="K1" s="796"/>
      <c r="L1" s="796"/>
      <c r="M1" s="796"/>
      <c r="N1" s="796"/>
      <c r="O1" s="796"/>
      <c r="P1" s="307" t="s">
        <v>288</v>
      </c>
      <c r="Q1" s="308"/>
      <c r="R1" s="308"/>
      <c r="S1" s="308"/>
      <c r="T1" s="308"/>
    </row>
    <row r="2" spans="1:20" s="177" customFormat="1" ht="20.25" customHeight="1">
      <c r="A2" s="896" t="s">
        <v>298</v>
      </c>
      <c r="B2" s="896"/>
      <c r="C2" s="896"/>
      <c r="D2" s="896"/>
      <c r="E2" s="306"/>
      <c r="F2" s="796"/>
      <c r="G2" s="796"/>
      <c r="H2" s="796"/>
      <c r="I2" s="796"/>
      <c r="J2" s="796"/>
      <c r="K2" s="796"/>
      <c r="L2" s="796"/>
      <c r="M2" s="796"/>
      <c r="N2" s="796"/>
      <c r="O2" s="796"/>
      <c r="P2" s="308" t="s">
        <v>330</v>
      </c>
      <c r="Q2" s="308"/>
      <c r="R2" s="308"/>
      <c r="S2" s="308"/>
      <c r="T2" s="308"/>
    </row>
    <row r="3" spans="1:20" s="177" customFormat="1" ht="15" customHeight="1">
      <c r="A3" s="896" t="s">
        <v>250</v>
      </c>
      <c r="B3" s="896"/>
      <c r="C3" s="896"/>
      <c r="D3" s="896"/>
      <c r="E3" s="306"/>
      <c r="F3" s="796"/>
      <c r="G3" s="796"/>
      <c r="H3" s="796"/>
      <c r="I3" s="796"/>
      <c r="J3" s="796"/>
      <c r="K3" s="796"/>
      <c r="L3" s="796"/>
      <c r="M3" s="796"/>
      <c r="N3" s="796"/>
      <c r="O3" s="796"/>
      <c r="P3" s="307" t="s">
        <v>356</v>
      </c>
      <c r="Q3" s="307"/>
      <c r="R3" s="307"/>
      <c r="S3" s="309"/>
      <c r="T3" s="309"/>
    </row>
    <row r="4" spans="1:20" s="177" customFormat="1" ht="15.75" customHeight="1">
      <c r="A4" s="897" t="s">
        <v>331</v>
      </c>
      <c r="B4" s="897"/>
      <c r="C4" s="897"/>
      <c r="D4" s="897"/>
      <c r="E4" s="307"/>
      <c r="F4" s="796"/>
      <c r="G4" s="796"/>
      <c r="H4" s="796"/>
      <c r="I4" s="796"/>
      <c r="J4" s="796"/>
      <c r="K4" s="796"/>
      <c r="L4" s="796"/>
      <c r="M4" s="796"/>
      <c r="N4" s="796"/>
      <c r="O4" s="796"/>
      <c r="P4" s="308" t="s">
        <v>300</v>
      </c>
      <c r="Q4" s="307"/>
      <c r="R4" s="307"/>
      <c r="S4" s="309"/>
      <c r="T4" s="309"/>
    </row>
    <row r="5" spans="1:18" s="177" customFormat="1" ht="24" customHeight="1">
      <c r="A5" s="310"/>
      <c r="B5" s="310"/>
      <c r="C5" s="310"/>
      <c r="F5" s="891"/>
      <c r="G5" s="891"/>
      <c r="H5" s="891"/>
      <c r="I5" s="891"/>
      <c r="J5" s="891"/>
      <c r="K5" s="891"/>
      <c r="L5" s="891"/>
      <c r="M5" s="891"/>
      <c r="N5" s="891"/>
      <c r="O5" s="891"/>
      <c r="P5" s="311" t="s">
        <v>332</v>
      </c>
      <c r="Q5" s="312"/>
      <c r="R5" s="312"/>
    </row>
    <row r="6" spans="1:20" s="313" customFormat="1" ht="21.75" customHeight="1">
      <c r="A6" s="900" t="s">
        <v>57</v>
      </c>
      <c r="B6" s="901"/>
      <c r="C6" s="803" t="s">
        <v>31</v>
      </c>
      <c r="D6" s="806"/>
      <c r="E6" s="803" t="s">
        <v>7</v>
      </c>
      <c r="F6" s="888"/>
      <c r="G6" s="888"/>
      <c r="H6" s="888"/>
      <c r="I6" s="888"/>
      <c r="J6" s="888"/>
      <c r="K6" s="888"/>
      <c r="L6" s="888"/>
      <c r="M6" s="888"/>
      <c r="N6" s="888"/>
      <c r="O6" s="888"/>
      <c r="P6" s="888"/>
      <c r="Q6" s="888"/>
      <c r="R6" s="888"/>
      <c r="S6" s="888"/>
      <c r="T6" s="806"/>
    </row>
    <row r="7" spans="1:21" s="313" customFormat="1" ht="22.5" customHeight="1">
      <c r="A7" s="902"/>
      <c r="B7" s="903"/>
      <c r="C7" s="775" t="s">
        <v>333</v>
      </c>
      <c r="D7" s="775" t="s">
        <v>334</v>
      </c>
      <c r="E7" s="803" t="s">
        <v>217</v>
      </c>
      <c r="F7" s="894"/>
      <c r="G7" s="894"/>
      <c r="H7" s="894"/>
      <c r="I7" s="894"/>
      <c r="J7" s="894"/>
      <c r="K7" s="894"/>
      <c r="L7" s="895"/>
      <c r="M7" s="803" t="s">
        <v>335</v>
      </c>
      <c r="N7" s="888"/>
      <c r="O7" s="888"/>
      <c r="P7" s="888"/>
      <c r="Q7" s="888"/>
      <c r="R7" s="888"/>
      <c r="S7" s="888"/>
      <c r="T7" s="806"/>
      <c r="U7" s="314"/>
    </row>
    <row r="8" spans="1:20" s="313" customFormat="1" ht="42.75" customHeight="1">
      <c r="A8" s="902"/>
      <c r="B8" s="903"/>
      <c r="C8" s="776"/>
      <c r="D8" s="776"/>
      <c r="E8" s="774" t="s">
        <v>336</v>
      </c>
      <c r="F8" s="774"/>
      <c r="G8" s="803" t="s">
        <v>337</v>
      </c>
      <c r="H8" s="888"/>
      <c r="I8" s="888"/>
      <c r="J8" s="888"/>
      <c r="K8" s="888"/>
      <c r="L8" s="806"/>
      <c r="M8" s="774" t="s">
        <v>338</v>
      </c>
      <c r="N8" s="774"/>
      <c r="O8" s="803" t="s">
        <v>337</v>
      </c>
      <c r="P8" s="888"/>
      <c r="Q8" s="888"/>
      <c r="R8" s="888"/>
      <c r="S8" s="888"/>
      <c r="T8" s="806"/>
    </row>
    <row r="9" spans="1:20" s="313" customFormat="1" ht="35.25" customHeight="1">
      <c r="A9" s="902"/>
      <c r="B9" s="903"/>
      <c r="C9" s="776"/>
      <c r="D9" s="776"/>
      <c r="E9" s="775" t="s">
        <v>218</v>
      </c>
      <c r="F9" s="775" t="s">
        <v>219</v>
      </c>
      <c r="G9" s="892" t="s">
        <v>220</v>
      </c>
      <c r="H9" s="893"/>
      <c r="I9" s="892" t="s">
        <v>221</v>
      </c>
      <c r="J9" s="893"/>
      <c r="K9" s="892" t="s">
        <v>222</v>
      </c>
      <c r="L9" s="893"/>
      <c r="M9" s="775" t="s">
        <v>223</v>
      </c>
      <c r="N9" s="775" t="s">
        <v>219</v>
      </c>
      <c r="O9" s="892" t="s">
        <v>220</v>
      </c>
      <c r="P9" s="893"/>
      <c r="Q9" s="892" t="s">
        <v>224</v>
      </c>
      <c r="R9" s="893"/>
      <c r="S9" s="892" t="s">
        <v>225</v>
      </c>
      <c r="T9" s="893"/>
    </row>
    <row r="10" spans="1:20" s="313" customFormat="1" ht="25.5" customHeight="1">
      <c r="A10" s="892"/>
      <c r="B10" s="893"/>
      <c r="C10" s="777"/>
      <c r="D10" s="777"/>
      <c r="E10" s="777"/>
      <c r="F10" s="777"/>
      <c r="G10" s="215" t="s">
        <v>223</v>
      </c>
      <c r="H10" s="215" t="s">
        <v>219</v>
      </c>
      <c r="I10" s="219" t="s">
        <v>223</v>
      </c>
      <c r="J10" s="215" t="s">
        <v>219</v>
      </c>
      <c r="K10" s="219" t="s">
        <v>223</v>
      </c>
      <c r="L10" s="215" t="s">
        <v>219</v>
      </c>
      <c r="M10" s="777"/>
      <c r="N10" s="777"/>
      <c r="O10" s="215" t="s">
        <v>223</v>
      </c>
      <c r="P10" s="215" t="s">
        <v>219</v>
      </c>
      <c r="Q10" s="219" t="s">
        <v>223</v>
      </c>
      <c r="R10" s="215" t="s">
        <v>219</v>
      </c>
      <c r="S10" s="219" t="s">
        <v>223</v>
      </c>
      <c r="T10" s="215" t="s">
        <v>219</v>
      </c>
    </row>
    <row r="11" spans="1:32" s="222" customFormat="1" ht="12.75">
      <c r="A11" s="905" t="s">
        <v>6</v>
      </c>
      <c r="B11" s="906"/>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264</v>
      </c>
    </row>
    <row r="12" spans="1:20" s="222" customFormat="1" ht="20.25" customHeight="1">
      <c r="A12" s="907" t="s">
        <v>320</v>
      </c>
      <c r="B12" s="908"/>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89" t="s">
        <v>296</v>
      </c>
      <c r="B13" s="89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98" t="s">
        <v>30</v>
      </c>
      <c r="B14" s="89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131</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265</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267</v>
      </c>
    </row>
    <row r="18" spans="1:20" s="178" customFormat="1" ht="15.75" customHeight="1">
      <c r="A18" s="200">
        <v>2</v>
      </c>
      <c r="B18" s="68" t="s">
        <v>297</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268</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269</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270</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272</v>
      </c>
      <c r="AK21" s="178" t="s">
        <v>273</v>
      </c>
      <c r="AL21" s="178" t="s">
        <v>274</v>
      </c>
      <c r="AM21" s="199" t="s">
        <v>275</v>
      </c>
    </row>
    <row r="22" spans="1:39" s="178" customFormat="1" ht="15.75" customHeight="1">
      <c r="A22" s="200">
        <v>6</v>
      </c>
      <c r="B22" s="68" t="s">
        <v>271</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277</v>
      </c>
    </row>
    <row r="23" spans="1:20" s="178" customFormat="1" ht="15.75" customHeight="1">
      <c r="A23" s="200">
        <v>7</v>
      </c>
      <c r="B23" s="68" t="s">
        <v>276</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278</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272</v>
      </c>
    </row>
    <row r="25" spans="1:36" s="178" customFormat="1" ht="15.75" customHeight="1">
      <c r="A25" s="200">
        <v>9</v>
      </c>
      <c r="B25" s="68" t="s">
        <v>279</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281</v>
      </c>
    </row>
    <row r="26" spans="1:44" s="178" customFormat="1" ht="15.75" customHeight="1">
      <c r="A26" s="200">
        <v>10</v>
      </c>
      <c r="B26" s="68" t="s">
        <v>280</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282</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284</v>
      </c>
      <c r="AI28" s="190">
        <f>82/88</f>
        <v>0.9318181818181818</v>
      </c>
    </row>
    <row r="29" spans="1:20" ht="15.75" customHeight="1">
      <c r="A29" s="180"/>
      <c r="B29" s="772" t="s">
        <v>283</v>
      </c>
      <c r="C29" s="772"/>
      <c r="D29" s="772"/>
      <c r="E29" s="772"/>
      <c r="F29" s="772"/>
      <c r="G29" s="772"/>
      <c r="H29" s="181"/>
      <c r="I29" s="181"/>
      <c r="J29" s="182"/>
      <c r="K29" s="181"/>
      <c r="L29" s="779" t="s">
        <v>283</v>
      </c>
      <c r="M29" s="779"/>
      <c r="N29" s="779"/>
      <c r="O29" s="779"/>
      <c r="P29" s="779"/>
      <c r="Q29" s="779"/>
      <c r="R29" s="779"/>
      <c r="S29" s="779"/>
      <c r="T29" s="779"/>
    </row>
    <row r="30" spans="1:20" ht="15" customHeight="1">
      <c r="A30" s="180"/>
      <c r="B30" s="785" t="s">
        <v>35</v>
      </c>
      <c r="C30" s="785"/>
      <c r="D30" s="785"/>
      <c r="E30" s="785"/>
      <c r="F30" s="785"/>
      <c r="G30" s="785"/>
      <c r="H30" s="183"/>
      <c r="I30" s="183"/>
      <c r="J30" s="183"/>
      <c r="K30" s="183"/>
      <c r="L30" s="788" t="s">
        <v>242</v>
      </c>
      <c r="M30" s="788"/>
      <c r="N30" s="788"/>
      <c r="O30" s="788"/>
      <c r="P30" s="788"/>
      <c r="Q30" s="788"/>
      <c r="R30" s="788"/>
      <c r="S30" s="788"/>
      <c r="T30" s="788"/>
    </row>
    <row r="31" spans="1:20" s="320" customFormat="1" ht="18.75">
      <c r="A31" s="318"/>
      <c r="B31" s="782"/>
      <c r="C31" s="782"/>
      <c r="D31" s="782"/>
      <c r="E31" s="782"/>
      <c r="F31" s="782"/>
      <c r="G31" s="319"/>
      <c r="H31" s="319"/>
      <c r="I31" s="319"/>
      <c r="J31" s="319"/>
      <c r="K31" s="319"/>
      <c r="L31" s="783"/>
      <c r="M31" s="783"/>
      <c r="N31" s="783"/>
      <c r="O31" s="783"/>
      <c r="P31" s="783"/>
      <c r="Q31" s="783"/>
      <c r="R31" s="783"/>
      <c r="S31" s="783"/>
      <c r="T31" s="783"/>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904" t="s">
        <v>287</v>
      </c>
      <c r="C33" s="904"/>
      <c r="D33" s="904"/>
      <c r="E33" s="904"/>
      <c r="F33" s="904"/>
      <c r="G33" s="321"/>
      <c r="H33" s="321"/>
      <c r="I33" s="321"/>
      <c r="J33" s="321"/>
      <c r="K33" s="321"/>
      <c r="L33" s="321"/>
      <c r="M33" s="321"/>
      <c r="N33" s="321"/>
      <c r="O33" s="904" t="s">
        <v>287</v>
      </c>
      <c r="P33" s="904"/>
      <c r="Q33" s="90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213</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214</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226</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55" t="s">
        <v>243</v>
      </c>
      <c r="C39" s="655"/>
      <c r="D39" s="655"/>
      <c r="E39" s="655"/>
      <c r="F39" s="655"/>
      <c r="G39" s="655"/>
      <c r="H39" s="182"/>
      <c r="I39" s="182"/>
      <c r="J39" s="182"/>
      <c r="K39" s="182"/>
      <c r="L39" s="656" t="s">
        <v>244</v>
      </c>
      <c r="M39" s="656"/>
      <c r="N39" s="656"/>
      <c r="O39" s="656"/>
      <c r="P39" s="656"/>
      <c r="Q39" s="656"/>
      <c r="R39" s="656"/>
      <c r="S39" s="656"/>
      <c r="T39" s="656"/>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HAI</cp:lastModifiedBy>
  <cp:lastPrinted>2019-12-03T07:23:07Z</cp:lastPrinted>
  <dcterms:created xsi:type="dcterms:W3CDTF">2004-03-07T02:36:29Z</dcterms:created>
  <dcterms:modified xsi:type="dcterms:W3CDTF">2019-12-12T01:38:18Z</dcterms:modified>
  <cp:category/>
  <cp:version/>
  <cp:contentType/>
  <cp:contentStatus/>
</cp:coreProperties>
</file>